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Questa_cartella_di_lavoro"/>
  <mc:AlternateContent xmlns:mc="http://schemas.openxmlformats.org/markup-compatibility/2006">
    <mc:Choice Requires="x15">
      <x15ac:absPath xmlns:x15ac="http://schemas.microsoft.com/office/spreadsheetml/2010/11/ac" url="R:\GestioneUtenze\Verifica calcolo tariffa\Foglio Calcolo tariffa in vigore\"/>
    </mc:Choice>
  </mc:AlternateContent>
  <xr:revisionPtr revIDLastSave="0" documentId="13_ncr:1_{4AEFD7E0-7713-4382-9A0D-609657A0D614}" xr6:coauthVersionLast="47" xr6:coauthVersionMax="47" xr10:uidLastSave="{00000000-0000-0000-0000-000000000000}"/>
  <workbookProtection workbookAlgorithmName="SHA-512" workbookHashValue="zjsoR89ydEeqtxobw8QGgzWOIdnQy9s9UKX2gj5XOqd+zHoG34GbPTfox7K6ewKy2no/hNzNuDl9OBdnnpcozw==" workbookSaltValue="JoS9mKhWVT+iP/I0IhfDVg==" workbookSpinCount="100000" lockStructure="1"/>
  <bookViews>
    <workbookView xWindow="-120" yWindow="-120" windowWidth="29040" windowHeight="15840" tabRatio="586" xr2:uid="{00000000-000D-0000-FFFF-FFFF00000000}"/>
  </bookViews>
  <sheets>
    <sheet name="DATI UTENTE" sheetId="7" r:id="rId1"/>
    <sheet name="TARIFFA" sheetId="6" r:id="rId2"/>
    <sheet name="Tariffa_old" sheetId="1" state="hidden" r:id="rId3"/>
    <sheet name="Dati" sheetId="2" state="hidden" r:id="rId4"/>
    <sheet name="Delibere" sheetId="4" state="hidden" r:id="rId5"/>
    <sheet name="Tariffa_New" sheetId="5" state="hidden" r:id="rId6"/>
    <sheet name="info_deroghe" sheetId="9" state="hidden" r:id="rId7"/>
    <sheet name="Deroghe" sheetId="10" state="hidden" r:id="rId8"/>
    <sheet name="Elenchi" sheetId="8" state="hidden" r:id="rId9"/>
    <sheet name="Guida" sheetId="3" state="hidden" r:id="rId10"/>
  </sheets>
  <definedNames>
    <definedName name="_xlnm.Print_Area" localSheetId="0">'DATI UTENTE'!$A$1:$I$97</definedName>
    <definedName name="_xlnm.Print_Area" localSheetId="1">TARIFFA!$A$1:$G$56</definedName>
    <definedName name="_xlnm.Print_Area" localSheetId="2">Tariffa_old!$A$1:$T$36</definedName>
    <definedName name="azo">Tariffa_old!$C$32</definedName>
    <definedName name="bod">Tariffa_old!$C$22</definedName>
    <definedName name="Classe">Dati!$D$23</definedName>
    <definedName name="cod">Tariffa_old!$C$21</definedName>
    <definedName name="Coef_C">Dati!$B$44</definedName>
    <definedName name="Coeff_U">Tariffa_old!#REF!</definedName>
    <definedName name="CoefK">Dati!$B$46</definedName>
    <definedName name="CoefM">Dati!$B$47</definedName>
    <definedName name="col">Tariffa_old!$C$18</definedName>
    <definedName name="Comune">Dati!$D$22</definedName>
    <definedName name="Comuni">Delibere!$A$21:$A$37</definedName>
    <definedName name="Consorzi">Dati!$A$20:$A$24</definedName>
    <definedName name="Consorzio">Dati!$D$21</definedName>
    <definedName name="da_3">Dati!$B$42</definedName>
    <definedName name="da_4">Dati!$B$43</definedName>
    <definedName name="daN">Dati!$B$41</definedName>
    <definedName name="db">Dati!$B$39</definedName>
    <definedName name="df">Dati!$B$40</definedName>
    <definedName name="dv">Dati!$B$38</definedName>
    <definedName name="f2_minimo">Dati!$B$63</definedName>
    <definedName name="f2p">Dati!$B$70</definedName>
    <definedName name="f2s">Dati!$B$29</definedName>
    <definedName name="Fog">Tariffa_old!#REF!</definedName>
    <definedName name="Km">Dati!$B$30</definedName>
    <definedName name="mc">Tariffa_old!$C$17</definedName>
    <definedName name="Mdb">Dati!$B$36</definedName>
    <definedName name="Mdf">Dati!$B$37</definedName>
    <definedName name="mesi">Dati!$S$48:$S$60</definedName>
    <definedName name="Nf">0</definedName>
    <definedName name="Of">Dati!$B$31</definedName>
    <definedName name="Periodo">Dati!$B$28</definedName>
    <definedName name="pH">Tariffa_old!$C$19</definedName>
    <definedName name="prova">"CasellaDiTesto 1"</definedName>
    <definedName name="rapp">Tariffa_old!$C$23</definedName>
    <definedName name="SceltaClasse">Dati!$T$48:$T$53</definedName>
    <definedName name="SceltaComuni">Dati!$I$52:$I$61</definedName>
    <definedName name="SceltaSocio">Dati!$T$55:$T$57</definedName>
    <definedName name="Sf">Dati!$B$32</definedName>
    <definedName name="sst">Tariffa_old!$C$20</definedName>
    <definedName name="ten">Tariffa_old!$C$27</definedName>
    <definedName name="_xlnm.Print_Titles" localSheetId="0">'DATI UTENTE'!$1:$1</definedName>
    <definedName name="U">Dati!$B$69</definedName>
    <definedName name="Umin">Dati!$B$71</definedName>
  </definedNames>
  <calcPr calcId="191029"/>
</workbook>
</file>

<file path=xl/calcChain.xml><?xml version="1.0" encoding="utf-8"?>
<calcChain xmlns="http://schemas.openxmlformats.org/spreadsheetml/2006/main">
  <c r="B79" i="2" l="1"/>
  <c r="B80" i="2"/>
  <c r="C14" i="5"/>
  <c r="C15" i="5"/>
  <c r="C16" i="5"/>
  <c r="C17" i="5"/>
  <c r="C24" i="5"/>
  <c r="J37" i="5"/>
  <c r="C27" i="5"/>
  <c r="C28" i="5"/>
  <c r="J39" i="5"/>
  <c r="C25" i="5"/>
  <c r="J38" i="5"/>
  <c r="V48" i="5"/>
  <c r="V45" i="5"/>
  <c r="V32" i="5"/>
  <c r="V30" i="5"/>
  <c r="O23" i="4"/>
  <c r="P23" i="4"/>
  <c r="N23" i="4"/>
  <c r="O21" i="4"/>
  <c r="P21" i="4"/>
  <c r="N21" i="4"/>
  <c r="O22" i="4"/>
  <c r="P22" i="4"/>
  <c r="N22" i="4"/>
  <c r="B61" i="2"/>
  <c r="J40" i="5"/>
  <c r="E22" i="1"/>
  <c r="D14" i="6"/>
  <c r="C3" i="5"/>
  <c r="C32" i="5" s="1"/>
  <c r="J42" i="5" s="1"/>
  <c r="B44" i="6" s="1"/>
  <c r="D10" i="6"/>
  <c r="D11" i="6"/>
  <c r="D12" i="6"/>
  <c r="D13" i="6"/>
  <c r="D15" i="6"/>
  <c r="F5" i="6"/>
  <c r="F4" i="6"/>
  <c r="B7" i="6"/>
  <c r="F6" i="6"/>
  <c r="B6" i="6"/>
  <c r="B5" i="6"/>
  <c r="B4" i="6"/>
  <c r="C12" i="10"/>
  <c r="D12" i="10" s="1"/>
  <c r="C11" i="10"/>
  <c r="H10" i="10"/>
  <c r="C7" i="10"/>
  <c r="G7" i="10" s="1"/>
  <c r="C5" i="10"/>
  <c r="G5" i="10" s="1"/>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I9" i="10"/>
  <c r="I8" i="10"/>
  <c r="I10" i="10"/>
  <c r="G10" i="10"/>
  <c r="J41" i="5"/>
  <c r="D9" i="6"/>
  <c r="F3" i="6"/>
  <c r="B3" i="6"/>
  <c r="B39" i="6" s="1"/>
  <c r="V53" i="5"/>
  <c r="U53" i="5"/>
  <c r="T53" i="5"/>
  <c r="S53" i="5"/>
  <c r="R53" i="5"/>
  <c r="Q53" i="5"/>
  <c r="P53" i="5"/>
  <c r="P58" i="5" s="1"/>
  <c r="N53" i="5"/>
  <c r="N58" i="5" s="1"/>
  <c r="M53" i="5"/>
  <c r="M58" i="5" s="1"/>
  <c r="L53" i="5"/>
  <c r="L58" i="5" s="1"/>
  <c r="C30" i="5"/>
  <c r="B4" i="2"/>
  <c r="B75" i="2" s="1"/>
  <c r="D23" i="2"/>
  <c r="H42" i="2" s="1"/>
  <c r="D22" i="2"/>
  <c r="A67" i="2" s="1"/>
  <c r="D21" i="2"/>
  <c r="B6" i="1" s="1"/>
  <c r="D20" i="2"/>
  <c r="B5" i="1" s="1"/>
  <c r="G20" i="1"/>
  <c r="E18" i="1"/>
  <c r="F18" i="1"/>
  <c r="G18" i="1"/>
  <c r="H18" i="1"/>
  <c r="I18" i="1"/>
  <c r="J18" i="1"/>
  <c r="K18" i="1"/>
  <c r="L18" i="1"/>
  <c r="M18" i="1"/>
  <c r="N18" i="1"/>
  <c r="O18" i="1"/>
  <c r="P18" i="1"/>
  <c r="Q18" i="1"/>
  <c r="R18" i="1"/>
  <c r="S18" i="1"/>
  <c r="T18" i="1"/>
  <c r="E20" i="1"/>
  <c r="F20" i="1"/>
  <c r="H20" i="1"/>
  <c r="I20" i="1"/>
  <c r="J20" i="1"/>
  <c r="K20" i="1"/>
  <c r="L20" i="1"/>
  <c r="M20" i="1"/>
  <c r="N20" i="1"/>
  <c r="O20" i="1"/>
  <c r="P20" i="1"/>
  <c r="Q20" i="1"/>
  <c r="R20" i="1"/>
  <c r="S20" i="1"/>
  <c r="T20" i="1"/>
  <c r="E21" i="1"/>
  <c r="E23" i="1"/>
  <c r="F21" i="1"/>
  <c r="G21" i="1"/>
  <c r="H21" i="1"/>
  <c r="I21" i="1"/>
  <c r="J21" i="1"/>
  <c r="K21" i="1"/>
  <c r="L21" i="1"/>
  <c r="M21" i="1"/>
  <c r="N21" i="1"/>
  <c r="O21" i="1"/>
  <c r="P21" i="1"/>
  <c r="Q21" i="1"/>
  <c r="R21" i="1"/>
  <c r="S21" i="1"/>
  <c r="T21" i="1"/>
  <c r="F22" i="1"/>
  <c r="F23" i="1"/>
  <c r="G22" i="1"/>
  <c r="G23" i="1"/>
  <c r="H22" i="1"/>
  <c r="H23" i="1"/>
  <c r="I22" i="1"/>
  <c r="I23" i="1"/>
  <c r="J22" i="1"/>
  <c r="J23" i="1"/>
  <c r="K22" i="1"/>
  <c r="K23" i="1"/>
  <c r="L22" i="1"/>
  <c r="L23" i="1"/>
  <c r="M22" i="1"/>
  <c r="M23" i="1"/>
  <c r="N22" i="1"/>
  <c r="N23" i="1"/>
  <c r="O22" i="1"/>
  <c r="O23" i="1"/>
  <c r="P22" i="1"/>
  <c r="P23" i="1"/>
  <c r="Q22" i="1"/>
  <c r="Q23" i="1"/>
  <c r="R22" i="1"/>
  <c r="R23" i="1"/>
  <c r="S22" i="1"/>
  <c r="S23" i="1"/>
  <c r="T22" i="1"/>
  <c r="T23" i="1"/>
  <c r="E27" i="1"/>
  <c r="F27" i="1"/>
  <c r="G27" i="1"/>
  <c r="H27" i="1"/>
  <c r="I27" i="1"/>
  <c r="J27" i="1"/>
  <c r="K27" i="1"/>
  <c r="L27" i="1"/>
  <c r="M27" i="1"/>
  <c r="N27" i="1"/>
  <c r="O27" i="1"/>
  <c r="P27" i="1"/>
  <c r="Q27" i="1"/>
  <c r="R27" i="1"/>
  <c r="S27" i="1"/>
  <c r="T27" i="1"/>
  <c r="E28" i="1"/>
  <c r="F28" i="1"/>
  <c r="G28" i="1"/>
  <c r="H28" i="1"/>
  <c r="I28" i="1"/>
  <c r="J28" i="1"/>
  <c r="K28" i="1"/>
  <c r="L28" i="1"/>
  <c r="M28" i="1"/>
  <c r="N28" i="1"/>
  <c r="O28" i="1"/>
  <c r="P28" i="1"/>
  <c r="Q28" i="1"/>
  <c r="R28" i="1"/>
  <c r="S28" i="1"/>
  <c r="T28" i="1"/>
  <c r="E29" i="1"/>
  <c r="F29" i="1"/>
  <c r="G29" i="1"/>
  <c r="H29" i="1"/>
  <c r="I29" i="1"/>
  <c r="J29" i="1"/>
  <c r="K29" i="1"/>
  <c r="L29" i="1"/>
  <c r="M29" i="1"/>
  <c r="N29" i="1"/>
  <c r="O29" i="1"/>
  <c r="P29" i="1"/>
  <c r="Q29" i="1"/>
  <c r="R29" i="1"/>
  <c r="S29" i="1"/>
  <c r="T29" i="1"/>
  <c r="D29" i="1"/>
  <c r="D32" i="1" s="1"/>
  <c r="D28" i="1"/>
  <c r="D22" i="1"/>
  <c r="D21" i="1"/>
  <c r="D20" i="1"/>
  <c r="D18" i="1"/>
  <c r="J53" i="5" s="1"/>
  <c r="E17" i="1"/>
  <c r="F17" i="1"/>
  <c r="G17" i="1"/>
  <c r="H17" i="1"/>
  <c r="I17" i="1"/>
  <c r="J17" i="1"/>
  <c r="K17" i="1"/>
  <c r="L17" i="1"/>
  <c r="M17" i="1"/>
  <c r="N17" i="1"/>
  <c r="O17" i="1"/>
  <c r="P17" i="1"/>
  <c r="Q17" i="1"/>
  <c r="R17" i="1"/>
  <c r="S17" i="1"/>
  <c r="T17" i="1"/>
  <c r="D17" i="1"/>
  <c r="D12" i="2" s="1"/>
  <c r="U12" i="2" s="1"/>
  <c r="F16" i="1"/>
  <c r="G16" i="1"/>
  <c r="H16" i="1"/>
  <c r="I16" i="1"/>
  <c r="J16" i="1"/>
  <c r="K16" i="1"/>
  <c r="L16" i="1"/>
  <c r="M16" i="1"/>
  <c r="N16" i="1"/>
  <c r="O16" i="1"/>
  <c r="P16" i="1"/>
  <c r="Q16" i="1"/>
  <c r="R16" i="1"/>
  <c r="S16" i="1"/>
  <c r="T16" i="1"/>
  <c r="E16" i="1"/>
  <c r="AS58" i="5"/>
  <c r="AF58" i="5"/>
  <c r="AE58" i="5"/>
  <c r="AD58" i="5"/>
  <c r="B58" i="5"/>
  <c r="CE53" i="5"/>
  <c r="CP53" i="5"/>
  <c r="CD53" i="5"/>
  <c r="CC53" i="5"/>
  <c r="CC58" i="5"/>
  <c r="C48" i="5"/>
  <c r="C45" i="5"/>
  <c r="C5" i="5"/>
  <c r="CD58" i="5"/>
  <c r="CO53" i="5"/>
  <c r="CO58" i="5"/>
  <c r="CP58" i="5"/>
  <c r="CE58" i="5"/>
  <c r="A61" i="2"/>
  <c r="J11" i="1"/>
  <c r="B78" i="2"/>
  <c r="B77" i="2"/>
  <c r="L35" i="1"/>
  <c r="E11" i="4"/>
  <c r="L40" i="2"/>
  <c r="G1" i="1"/>
  <c r="G63" i="2"/>
  <c r="E5" i="2"/>
  <c r="F5" i="2"/>
  <c r="G5" i="2"/>
  <c r="H5" i="2"/>
  <c r="I5" i="2"/>
  <c r="J5" i="2"/>
  <c r="K5" i="2"/>
  <c r="L5" i="2"/>
  <c r="M5" i="2"/>
  <c r="N5" i="2"/>
  <c r="O5" i="2"/>
  <c r="P5" i="2"/>
  <c r="Q5" i="2"/>
  <c r="R5" i="2"/>
  <c r="S5" i="2"/>
  <c r="T5" i="2"/>
  <c r="E11" i="2"/>
  <c r="F11" i="2"/>
  <c r="G11" i="2"/>
  <c r="H11" i="2"/>
  <c r="I11" i="2"/>
  <c r="J11" i="2"/>
  <c r="K11" i="2"/>
  <c r="L11" i="2"/>
  <c r="M11" i="2"/>
  <c r="N11" i="2"/>
  <c r="O11" i="2"/>
  <c r="P11" i="2"/>
  <c r="Q11" i="2"/>
  <c r="R11" i="2"/>
  <c r="S11" i="2"/>
  <c r="T11" i="2"/>
  <c r="E10" i="2"/>
  <c r="F10" i="2"/>
  <c r="G10" i="2"/>
  <c r="H10" i="2"/>
  <c r="I10" i="2"/>
  <c r="J10" i="2"/>
  <c r="K10" i="2"/>
  <c r="L10" i="2"/>
  <c r="M10" i="2"/>
  <c r="N10" i="2"/>
  <c r="O10" i="2"/>
  <c r="P10" i="2"/>
  <c r="Q10" i="2"/>
  <c r="R10" i="2"/>
  <c r="S10" i="2"/>
  <c r="T10" i="2"/>
  <c r="E9" i="2"/>
  <c r="F9" i="2"/>
  <c r="G9" i="2"/>
  <c r="H9" i="2"/>
  <c r="I9" i="2"/>
  <c r="J9" i="2"/>
  <c r="K9" i="2"/>
  <c r="L9" i="2"/>
  <c r="M9" i="2"/>
  <c r="N9" i="2"/>
  <c r="O9" i="2"/>
  <c r="P9" i="2"/>
  <c r="Q9" i="2"/>
  <c r="R9" i="2"/>
  <c r="S9" i="2"/>
  <c r="T9" i="2"/>
  <c r="F8" i="2"/>
  <c r="G8" i="2"/>
  <c r="H8" i="2"/>
  <c r="I8" i="2"/>
  <c r="J8" i="2"/>
  <c r="K8" i="2"/>
  <c r="L8" i="2"/>
  <c r="M8" i="2"/>
  <c r="N8" i="2"/>
  <c r="O8" i="2"/>
  <c r="P8" i="2"/>
  <c r="Q8" i="2"/>
  <c r="R8" i="2"/>
  <c r="S8" i="2"/>
  <c r="T8" i="2"/>
  <c r="F12" i="2"/>
  <c r="G12" i="2"/>
  <c r="H12" i="2"/>
  <c r="I12" i="2"/>
  <c r="J12" i="2"/>
  <c r="K12" i="2"/>
  <c r="L12" i="2"/>
  <c r="M12" i="2"/>
  <c r="N12" i="2"/>
  <c r="O12" i="2"/>
  <c r="P12" i="2"/>
  <c r="Q12" i="2"/>
  <c r="R12" i="2"/>
  <c r="S12" i="2"/>
  <c r="T12" i="2"/>
  <c r="F13" i="2"/>
  <c r="G13" i="2"/>
  <c r="H13" i="2"/>
  <c r="I13" i="2"/>
  <c r="J13" i="2"/>
  <c r="K13" i="2"/>
  <c r="L13" i="2"/>
  <c r="M13" i="2"/>
  <c r="N13" i="2"/>
  <c r="O13" i="2"/>
  <c r="P13" i="2"/>
  <c r="Q13" i="2"/>
  <c r="R13" i="2"/>
  <c r="S13" i="2"/>
  <c r="T13" i="2"/>
  <c r="F14" i="2"/>
  <c r="G14" i="2"/>
  <c r="H14" i="2"/>
  <c r="I14" i="2"/>
  <c r="J14" i="2"/>
  <c r="K14" i="2"/>
  <c r="L14" i="2"/>
  <c r="M14" i="2"/>
  <c r="N14" i="2"/>
  <c r="O14" i="2"/>
  <c r="P14" i="2"/>
  <c r="Q14" i="2"/>
  <c r="R14" i="2"/>
  <c r="S14" i="2"/>
  <c r="T14" i="2"/>
  <c r="F15" i="2"/>
  <c r="G15" i="2"/>
  <c r="H15" i="2"/>
  <c r="I15" i="2"/>
  <c r="J15" i="2"/>
  <c r="K15" i="2"/>
  <c r="L15" i="2"/>
  <c r="M15" i="2"/>
  <c r="N15" i="2"/>
  <c r="O15" i="2"/>
  <c r="P15" i="2"/>
  <c r="Q15" i="2"/>
  <c r="R15" i="2"/>
  <c r="S15" i="2"/>
  <c r="T15" i="2"/>
  <c r="F16" i="2"/>
  <c r="G16" i="2"/>
  <c r="H16" i="2"/>
  <c r="I16" i="2"/>
  <c r="J16" i="2"/>
  <c r="K16" i="2"/>
  <c r="L16" i="2"/>
  <c r="M16" i="2"/>
  <c r="N16" i="2"/>
  <c r="O16" i="2"/>
  <c r="P16" i="2"/>
  <c r="Q16" i="2"/>
  <c r="R16" i="2"/>
  <c r="S16" i="2"/>
  <c r="T16" i="2"/>
  <c r="F7" i="2"/>
  <c r="G7" i="2"/>
  <c r="H7" i="2"/>
  <c r="I7" i="2"/>
  <c r="J7" i="2"/>
  <c r="K7" i="2"/>
  <c r="L7" i="2"/>
  <c r="M7" i="2"/>
  <c r="N7" i="2"/>
  <c r="O7" i="2"/>
  <c r="P7" i="2"/>
  <c r="Q7" i="2"/>
  <c r="R7" i="2"/>
  <c r="S7" i="2"/>
  <c r="T7" i="2"/>
  <c r="V63" i="2"/>
  <c r="N56" i="2"/>
  <c r="N57" i="2"/>
  <c r="N59" i="2"/>
  <c r="N60" i="2"/>
  <c r="N61" i="2"/>
  <c r="N62" i="2"/>
  <c r="H90" i="2"/>
  <c r="G90" i="2"/>
  <c r="F90" i="2"/>
  <c r="E90" i="2"/>
  <c r="E8" i="2"/>
  <c r="E12" i="2"/>
  <c r="E13" i="2"/>
  <c r="E14" i="2"/>
  <c r="E15" i="2"/>
  <c r="E16" i="2"/>
  <c r="E7" i="2"/>
  <c r="E32" i="1"/>
  <c r="G32" i="1"/>
  <c r="H32" i="1"/>
  <c r="I32" i="1"/>
  <c r="J32" i="1"/>
  <c r="K32" i="1"/>
  <c r="L32" i="1"/>
  <c r="M32" i="1"/>
  <c r="N32" i="1"/>
  <c r="O32" i="1"/>
  <c r="P32" i="1"/>
  <c r="Q32" i="1"/>
  <c r="R32" i="1"/>
  <c r="S32" i="1"/>
  <c r="T32" i="1"/>
  <c r="D27" i="1"/>
  <c r="CN53" i="5"/>
  <c r="CN58" i="5"/>
  <c r="Q17" i="2"/>
  <c r="O17" i="2"/>
  <c r="J17" i="2"/>
  <c r="F17" i="2"/>
  <c r="R17" i="2"/>
  <c r="K17" i="2"/>
  <c r="G17" i="2"/>
  <c r="M17" i="2"/>
  <c r="L17" i="2"/>
  <c r="S17" i="2"/>
  <c r="H17" i="2"/>
  <c r="N17" i="2"/>
  <c r="I17" i="2"/>
  <c r="T17" i="2"/>
  <c r="P17" i="2"/>
  <c r="E17" i="2"/>
  <c r="D5" i="10" l="1"/>
  <c r="B37" i="6"/>
  <c r="D23" i="1"/>
  <c r="H7" i="10"/>
  <c r="H5" i="10"/>
  <c r="B41" i="6"/>
  <c r="B38" i="6"/>
  <c r="D13" i="2"/>
  <c r="U13" i="2" s="1"/>
  <c r="D8" i="2"/>
  <c r="U8" i="2" s="1"/>
  <c r="D15" i="2"/>
  <c r="U15" i="2" s="1"/>
  <c r="D16" i="2"/>
  <c r="U16" i="2" s="1"/>
  <c r="D14" i="2"/>
  <c r="U14" i="2" s="1"/>
  <c r="D7" i="2"/>
  <c r="U7" i="2" s="1"/>
  <c r="D10" i="2"/>
  <c r="U10" i="2" s="1"/>
  <c r="D11" i="2"/>
  <c r="U11" i="2" s="1"/>
  <c r="AP53" i="5"/>
  <c r="AP58" i="5" s="1"/>
  <c r="H33" i="2"/>
  <c r="H43" i="2"/>
  <c r="I43" i="2" s="1"/>
  <c r="B47" i="2" s="1"/>
  <c r="B7" i="1"/>
  <c r="A26" i="2"/>
  <c r="B32" i="2" s="1"/>
  <c r="G54" i="2"/>
  <c r="D5" i="2"/>
  <c r="C5" i="2" s="1"/>
  <c r="C17" i="1" s="1"/>
  <c r="D9" i="2"/>
  <c r="U9" i="2" s="1"/>
  <c r="C6" i="10"/>
  <c r="D6" i="10" s="1"/>
  <c r="F5" i="10" s="1"/>
  <c r="I12" i="10"/>
  <c r="B8" i="1"/>
  <c r="H34" i="2"/>
  <c r="A68" i="2"/>
  <c r="A25" i="2"/>
  <c r="G53" i="2"/>
  <c r="B28" i="2"/>
  <c r="C7" i="5"/>
  <c r="C8" i="5"/>
  <c r="B40" i="6"/>
  <c r="B74" i="2"/>
  <c r="B73" i="2"/>
  <c r="C15" i="2" l="1"/>
  <c r="C30" i="1" s="1"/>
  <c r="B37" i="10"/>
  <c r="D17" i="2"/>
  <c r="U17" i="2" s="1"/>
  <c r="C8" i="2"/>
  <c r="C19" i="1" s="1"/>
  <c r="C12" i="2"/>
  <c r="C27" i="1" s="1"/>
  <c r="G33" i="2"/>
  <c r="C10" i="2"/>
  <c r="C21" i="1" s="1"/>
  <c r="B49" i="2" s="1"/>
  <c r="C7" i="2"/>
  <c r="C18" i="1" s="1"/>
  <c r="D51" i="7" s="1"/>
  <c r="C16" i="2"/>
  <c r="C31" i="1" s="1"/>
  <c r="B48" i="2"/>
  <c r="C9" i="2"/>
  <c r="C20" i="1" s="1"/>
  <c r="F13" i="6" s="1"/>
  <c r="F9" i="6"/>
  <c r="B37" i="2"/>
  <c r="B36" i="2"/>
  <c r="B31" i="2"/>
  <c r="B39" i="2"/>
  <c r="B41" i="2"/>
  <c r="B42" i="2"/>
  <c r="B43" i="2"/>
  <c r="B40" i="2"/>
  <c r="B33" i="2"/>
  <c r="B35" i="2"/>
  <c r="B26" i="2"/>
  <c r="H57" i="2" s="1"/>
  <c r="I57" i="2" s="1"/>
  <c r="B30" i="2"/>
  <c r="B38" i="2"/>
  <c r="B29" i="2"/>
  <c r="B82" i="2" s="1"/>
  <c r="B34" i="2"/>
  <c r="D50" i="7"/>
  <c r="B32" i="10" s="1"/>
  <c r="B36" i="10" s="1"/>
  <c r="C13" i="2"/>
  <c r="D53" i="5"/>
  <c r="D58" i="5" s="1"/>
  <c r="G34" i="2"/>
  <c r="I34" i="2" s="1"/>
  <c r="B44" i="2" s="1"/>
  <c r="C14" i="2"/>
  <c r="C29" i="1" s="1"/>
  <c r="F15" i="6" s="1"/>
  <c r="C11" i="2"/>
  <c r="C22" i="1" s="1"/>
  <c r="B71" i="2"/>
  <c r="B68" i="2"/>
  <c r="B63" i="2" s="1"/>
  <c r="B70" i="2"/>
  <c r="B69" i="2"/>
  <c r="N35" i="2"/>
  <c r="N44" i="2"/>
  <c r="N36" i="2"/>
  <c r="N27" i="2"/>
  <c r="N45" i="2"/>
  <c r="N26" i="2"/>
  <c r="C10" i="5"/>
  <c r="C9" i="5"/>
  <c r="B53" i="2" l="1"/>
  <c r="E12" i="1" s="1"/>
  <c r="H53" i="2"/>
  <c r="I53" i="2" s="1"/>
  <c r="B56" i="2"/>
  <c r="C56" i="2" s="1"/>
  <c r="B58" i="2"/>
  <c r="C58" i="2" s="1"/>
  <c r="H54" i="2"/>
  <c r="I54" i="2" s="1"/>
  <c r="C61" i="2"/>
  <c r="J12" i="1" s="1"/>
  <c r="B88" i="2"/>
  <c r="B24" i="6" s="1"/>
  <c r="B43" i="6" s="1"/>
  <c r="B51" i="2"/>
  <c r="F10" i="6"/>
  <c r="D54" i="7"/>
  <c r="G53" i="5"/>
  <c r="F11" i="6"/>
  <c r="D52" i="7"/>
  <c r="E53" i="5"/>
  <c r="C18" i="2"/>
  <c r="C23" i="1" s="1"/>
  <c r="O27" i="2" s="1"/>
  <c r="P27" i="2" s="1"/>
  <c r="H56" i="2"/>
  <c r="I56" i="2" s="1"/>
  <c r="H59" i="2"/>
  <c r="I59" i="2" s="1"/>
  <c r="B83" i="2"/>
  <c r="B19" i="6" s="1"/>
  <c r="H55" i="2"/>
  <c r="I55" i="2" s="1"/>
  <c r="H58" i="2"/>
  <c r="I58" i="2" s="1"/>
  <c r="B87" i="2"/>
  <c r="F9" i="1" s="1"/>
  <c r="B84" i="2"/>
  <c r="E6" i="1" s="1"/>
  <c r="B52" i="2"/>
  <c r="D12" i="1" s="1"/>
  <c r="H61" i="2"/>
  <c r="I61" i="2" s="1"/>
  <c r="C90" i="2" s="1"/>
  <c r="H60" i="2"/>
  <c r="I60" i="2" s="1"/>
  <c r="B85" i="2"/>
  <c r="E7" i="1" s="1"/>
  <c r="I53" i="5"/>
  <c r="D56" i="7"/>
  <c r="C28" i="1"/>
  <c r="C17" i="2"/>
  <c r="C32" i="1" s="1"/>
  <c r="F53" i="5"/>
  <c r="F12" i="6"/>
  <c r="B50" i="2"/>
  <c r="D53" i="7"/>
  <c r="C45" i="2"/>
  <c r="D45" i="2"/>
  <c r="B62" i="2"/>
  <c r="E4" i="1"/>
  <c r="B18" i="6"/>
  <c r="BI53" i="5"/>
  <c r="AO53" i="5"/>
  <c r="AT53" i="5"/>
  <c r="AN53" i="5"/>
  <c r="BJ53" i="5"/>
  <c r="BJ58" i="5" s="1"/>
  <c r="C53" i="2" l="1"/>
  <c r="E13" i="1" s="1"/>
  <c r="B45" i="2"/>
  <c r="F10" i="1"/>
  <c r="P26" i="2"/>
  <c r="D61" i="2"/>
  <c r="J13" i="1" s="1"/>
  <c r="B23" i="6"/>
  <c r="B42" i="6" s="1"/>
  <c r="B54" i="2"/>
  <c r="C54" i="2" s="1"/>
  <c r="F13" i="1" s="1"/>
  <c r="O35" i="2"/>
  <c r="O36" i="2"/>
  <c r="P36" i="2" s="1"/>
  <c r="O26" i="2"/>
  <c r="P44" i="2"/>
  <c r="O45" i="2"/>
  <c r="P45" i="2" s="1"/>
  <c r="E5" i="1"/>
  <c r="C24" i="1"/>
  <c r="O44" i="2"/>
  <c r="P35" i="2"/>
  <c r="B20" i="6"/>
  <c r="B21" i="6"/>
  <c r="C52" i="2"/>
  <c r="D13" i="1" s="1"/>
  <c r="D55" i="7"/>
  <c r="D11" i="10" s="1"/>
  <c r="I11" i="10" s="1"/>
  <c r="B39" i="10" s="1"/>
  <c r="H53" i="5"/>
  <c r="F14" i="6"/>
  <c r="Z53" i="5"/>
  <c r="Z58" i="5" s="1"/>
  <c r="C28" i="6"/>
  <c r="D28" i="6" s="1"/>
  <c r="X53" i="5"/>
  <c r="C27" i="6"/>
  <c r="AC53" i="5"/>
  <c r="C32" i="6"/>
  <c r="D32" i="6" s="1"/>
  <c r="AN58" i="5"/>
  <c r="AU53" i="5"/>
  <c r="BZ53" i="5"/>
  <c r="AT58" i="5"/>
  <c r="AU58" i="5" s="1"/>
  <c r="BY53" i="5"/>
  <c r="AO58" i="5"/>
  <c r="BI58" i="5"/>
  <c r="BK53" i="5"/>
  <c r="BL53" i="5"/>
  <c r="B46" i="2" l="1"/>
  <c r="B57" i="2" s="1"/>
  <c r="C57" i="2" s="1"/>
  <c r="B55" i="2"/>
  <c r="G12" i="1" s="1"/>
  <c r="F12" i="1"/>
  <c r="Y53" i="5" s="1"/>
  <c r="Y58" i="5" s="1"/>
  <c r="AQ53" i="5"/>
  <c r="AR53" i="5" s="1"/>
  <c r="AR58" i="5" s="1"/>
  <c r="AV53" i="5"/>
  <c r="D27" i="6"/>
  <c r="X58" i="5"/>
  <c r="AG53" i="5"/>
  <c r="AC58" i="5"/>
  <c r="CB53" i="5"/>
  <c r="C50" i="6"/>
  <c r="D50" i="6" s="1"/>
  <c r="BZ58" i="5"/>
  <c r="BX53" i="5"/>
  <c r="BL58" i="5"/>
  <c r="BK58" i="5"/>
  <c r="BW53" i="5"/>
  <c r="C49" i="6"/>
  <c r="D49" i="6" s="1"/>
  <c r="BY58" i="5"/>
  <c r="B86" i="2" l="1"/>
  <c r="E8" i="1" s="1"/>
  <c r="B59" i="2"/>
  <c r="C59" i="2" s="1"/>
  <c r="H13" i="1" s="1"/>
  <c r="AH53" i="5"/>
  <c r="CS53" i="5" s="1"/>
  <c r="C29" i="6"/>
  <c r="D29" i="6" s="1"/>
  <c r="C55" i="2"/>
  <c r="G13" i="1" s="1"/>
  <c r="AV58" i="5"/>
  <c r="AW58" i="5" s="1"/>
  <c r="CA53" i="5"/>
  <c r="CW53" i="5" s="1"/>
  <c r="CW58" i="5" s="1"/>
  <c r="AX53" i="5"/>
  <c r="AW53" i="5"/>
  <c r="C52" i="6"/>
  <c r="D52" i="6" s="1"/>
  <c r="CB58" i="5"/>
  <c r="CM53" i="5"/>
  <c r="CM58" i="5" s="1"/>
  <c r="AG58" i="5"/>
  <c r="C48" i="6"/>
  <c r="D48" i="6" s="1"/>
  <c r="BX58" i="5"/>
  <c r="C47" i="6"/>
  <c r="D47" i="6" s="1"/>
  <c r="CV53" i="5"/>
  <c r="BW58" i="5"/>
  <c r="B22" i="6" l="1"/>
  <c r="B60" i="2"/>
  <c r="I12" i="1" s="1"/>
  <c r="H12" i="1"/>
  <c r="AA53" i="5" s="1"/>
  <c r="CF53" i="5"/>
  <c r="C54" i="6" s="1"/>
  <c r="D54" i="6" s="1"/>
  <c r="BC53" i="5"/>
  <c r="AH58" i="5"/>
  <c r="BC58" i="5" s="1"/>
  <c r="AI53" i="5"/>
  <c r="AX58" i="5"/>
  <c r="AY58" i="5" s="1"/>
  <c r="AY53" i="5"/>
  <c r="AZ53" i="5"/>
  <c r="C51" i="6"/>
  <c r="D51" i="6" s="1"/>
  <c r="CA58" i="5"/>
  <c r="CS58" i="5"/>
  <c r="AI58" i="5"/>
  <c r="CX53" i="5"/>
  <c r="CX58" i="5" s="1"/>
  <c r="CV58" i="5"/>
  <c r="C30" i="6" l="1"/>
  <c r="B33" i="10" s="1"/>
  <c r="B34" i="10" s="1"/>
  <c r="CF58" i="5"/>
  <c r="B64" i="2"/>
  <c r="K12" i="1" s="1"/>
  <c r="C60" i="2"/>
  <c r="I13" i="1" s="1"/>
  <c r="AZ58" i="5"/>
  <c r="BA58" i="5" s="1"/>
  <c r="BA53" i="5"/>
  <c r="AA58" i="5"/>
  <c r="CV60" i="5"/>
  <c r="D30" i="6" l="1"/>
  <c r="C64" i="2"/>
  <c r="K13" i="1" s="1"/>
  <c r="B40" i="10"/>
  <c r="B42" i="10" l="1"/>
  <c r="B41" i="10"/>
  <c r="B43" i="10" s="1"/>
  <c r="AB53" i="5" l="1"/>
  <c r="C31" i="6"/>
  <c r="D31" i="6" l="1"/>
  <c r="C34" i="6"/>
  <c r="D34" i="6" s="1"/>
  <c r="AB58" i="5"/>
  <c r="AJ53" i="5"/>
  <c r="BD53" i="5" l="1"/>
  <c r="AL53" i="5"/>
  <c r="BE53" i="5" s="1"/>
  <c r="AJ58" i="5"/>
  <c r="CT53" i="5"/>
  <c r="AK53" i="5"/>
  <c r="BN53" i="5" l="1"/>
  <c r="CT58" i="5"/>
  <c r="CW60" i="5" s="1"/>
  <c r="CU53" i="5"/>
  <c r="CU58" i="5" s="1"/>
  <c r="CX60" i="5" s="1"/>
  <c r="AK58" i="5"/>
  <c r="BD58" i="5"/>
  <c r="AM53" i="5"/>
  <c r="BF53" i="5" s="1"/>
  <c r="AL58" i="5"/>
  <c r="BG53" i="5"/>
  <c r="C12" i="5" l="1"/>
  <c r="BG58" i="5"/>
  <c r="AM58" i="5"/>
  <c r="BF58" i="5" s="1"/>
  <c r="BG60" i="5"/>
  <c r="BG61" i="5"/>
  <c r="BE58" i="5"/>
  <c r="V12" i="5" s="1"/>
  <c r="BN58" i="5"/>
  <c r="BO53" i="5"/>
  <c r="BO58" i="5" l="1"/>
  <c r="BP53" i="5"/>
  <c r="BU53" i="5"/>
  <c r="BT53" i="5"/>
  <c r="BS53" i="5"/>
  <c r="CJ53" i="5" l="1"/>
  <c r="CJ58" i="5" s="1"/>
  <c r="BS58" i="5"/>
  <c r="CK53" i="5"/>
  <c r="CK58" i="5" s="1"/>
  <c r="BT58" i="5"/>
  <c r="BP58" i="5"/>
  <c r="BR53" i="5"/>
  <c r="BQ53" i="5" s="1"/>
  <c r="CL53" i="5"/>
  <c r="CL58" i="5" s="1"/>
  <c r="BU58" i="5"/>
  <c r="CH53" i="5" l="1"/>
  <c r="BQ58" i="5"/>
  <c r="BR58" i="5"/>
  <c r="CI53" i="5"/>
  <c r="CZ53" i="5" l="1"/>
  <c r="CZ58" i="5" s="1"/>
  <c r="CI58" i="5"/>
  <c r="CQ53" i="5"/>
  <c r="CY53" i="5"/>
  <c r="CH58" i="5"/>
  <c r="C56" i="6" l="1"/>
  <c r="D56" i="6" s="1"/>
  <c r="CQ58" i="5"/>
  <c r="CY58" i="5"/>
  <c r="DA53" i="5"/>
  <c r="DA58" i="5" s="1"/>
  <c r="CZ61" i="5"/>
  <c r="CZ60" i="5"/>
  <c r="CY60" i="5" l="1"/>
  <c r="CY61" i="5"/>
  <c r="DA60" i="5"/>
  <c r="DA61" i="5"/>
</calcChain>
</file>

<file path=xl/sharedStrings.xml><?xml version="1.0" encoding="utf-8"?>
<sst xmlns="http://schemas.openxmlformats.org/spreadsheetml/2006/main" count="1147" uniqueCount="628">
  <si>
    <t>Fisso Ut.</t>
  </si>
  <si>
    <t>Fog. Com.</t>
  </si>
  <si>
    <t>Totale</t>
  </si>
  <si>
    <t xml:space="preserve">Parametri </t>
  </si>
  <si>
    <t>Portata scarico</t>
  </si>
  <si>
    <t>mc.</t>
  </si>
  <si>
    <t>colore diluiz.1 a ..</t>
  </si>
  <si>
    <t>rapp.</t>
  </si>
  <si>
    <t>pH</t>
  </si>
  <si>
    <t>Solidi Sospesi</t>
  </si>
  <si>
    <t>mg./lt.</t>
  </si>
  <si>
    <t>COD</t>
  </si>
  <si>
    <t>BOD</t>
  </si>
  <si>
    <t>COD/BOD</t>
  </si>
  <si>
    <t>Tensioattivi non ionici</t>
  </si>
  <si>
    <t>*</t>
  </si>
  <si>
    <t>Tensioattivi anionici</t>
  </si>
  <si>
    <t>Tensioattivi totali</t>
  </si>
  <si>
    <t>Azoto organico - N</t>
  </si>
  <si>
    <t>Azoto ammonia. - N</t>
  </si>
  <si>
    <t>tot.</t>
  </si>
  <si>
    <t>Kg.</t>
  </si>
  <si>
    <t>Km</t>
  </si>
  <si>
    <t>Of</t>
  </si>
  <si>
    <t>Sf</t>
  </si>
  <si>
    <t>Tnf</t>
  </si>
  <si>
    <t>Mdb</t>
  </si>
  <si>
    <t>Mdf</t>
  </si>
  <si>
    <t>Calcoli dei Kg</t>
  </si>
  <si>
    <t>Coefficienti M</t>
  </si>
  <si>
    <t>1° prelievo</t>
  </si>
  <si>
    <t>2° prelievo</t>
  </si>
  <si>
    <t>3° prelievo</t>
  </si>
  <si>
    <t>4° prelievo</t>
  </si>
  <si>
    <t>5° prelievo</t>
  </si>
  <si>
    <t>6° prelievo</t>
  </si>
  <si>
    <t>7° prelievo</t>
  </si>
  <si>
    <t>8° prelievo</t>
  </si>
  <si>
    <t>9° prelievo</t>
  </si>
  <si>
    <t>10° prelievo</t>
  </si>
  <si>
    <t>11° prelievo</t>
  </si>
  <si>
    <t>12° prelievo</t>
  </si>
  <si>
    <t>13° prelievo</t>
  </si>
  <si>
    <t>14° prelievo</t>
  </si>
  <si>
    <t>15° prelievo</t>
  </si>
  <si>
    <t>16° prelievo</t>
  </si>
  <si>
    <t>Azoto organico</t>
  </si>
  <si>
    <t>Azoto ammoniac</t>
  </si>
  <si>
    <t>Valori</t>
  </si>
  <si>
    <t>Dati iniziali</t>
  </si>
  <si>
    <t>Azoto Totale</t>
  </si>
  <si>
    <t>Mc Totali</t>
  </si>
  <si>
    <t>ppm</t>
  </si>
  <si>
    <t>Gironico-Parè</t>
  </si>
  <si>
    <t>Livescia</t>
  </si>
  <si>
    <t>Cavallasca</t>
  </si>
  <si>
    <t>Como</t>
  </si>
  <si>
    <t>Grandate</t>
  </si>
  <si>
    <t>Luisago</t>
  </si>
  <si>
    <t>Villa Guardia</t>
  </si>
  <si>
    <t>Bulgarograsso</t>
  </si>
  <si>
    <t>Gironico</t>
  </si>
  <si>
    <t>Parè</t>
  </si>
  <si>
    <t>Alto Lura</t>
  </si>
  <si>
    <t>Alto Seveso</t>
  </si>
  <si>
    <t>a</t>
  </si>
  <si>
    <t>b</t>
  </si>
  <si>
    <t>c</t>
  </si>
  <si>
    <t>d</t>
  </si>
  <si>
    <t>e</t>
  </si>
  <si>
    <t>si</t>
  </si>
  <si>
    <t>San Fermo</t>
  </si>
  <si>
    <t>U</t>
  </si>
  <si>
    <t>Cln</t>
  </si>
  <si>
    <t>ValoreK</t>
  </si>
  <si>
    <t>dv</t>
  </si>
  <si>
    <t>db</t>
  </si>
  <si>
    <t>df</t>
  </si>
  <si>
    <t>daN</t>
  </si>
  <si>
    <t>da3</t>
  </si>
  <si>
    <t>da4</t>
  </si>
  <si>
    <t>Classe</t>
  </si>
  <si>
    <t>Socio</t>
  </si>
  <si>
    <t>Montano L.</t>
  </si>
  <si>
    <t>Fino M.</t>
  </si>
  <si>
    <t>Cassina R.</t>
  </si>
  <si>
    <t>Oltrona S. M.</t>
  </si>
  <si>
    <t>Olgiate C.</t>
  </si>
  <si>
    <t>Lurate C.</t>
  </si>
  <si>
    <t>Beregazzo</t>
  </si>
  <si>
    <t>Casnate</t>
  </si>
  <si>
    <t>mc_max</t>
  </si>
  <si>
    <t>Coefficienti C</t>
  </si>
  <si>
    <t>Coefficienti K massimi (Falso)</t>
  </si>
  <si>
    <t>Coefficienti K minimi (Vero)</t>
  </si>
  <si>
    <t>Coeff C</t>
  </si>
  <si>
    <t>Coeff K</t>
  </si>
  <si>
    <t>Coeff M</t>
  </si>
  <si>
    <t>mc Scarico</t>
  </si>
  <si>
    <t>SST</t>
  </si>
  <si>
    <t>FissoUtenza</t>
  </si>
  <si>
    <t>FogComunale</t>
  </si>
  <si>
    <t>CollConsortile</t>
  </si>
  <si>
    <t>Verifica  K per Tab "A"</t>
  </si>
  <si>
    <t>VerK per Tab A</t>
  </si>
  <si>
    <t>da</t>
  </si>
  <si>
    <t>mesi</t>
  </si>
  <si>
    <t>Periodo</t>
  </si>
  <si>
    <t>Consorzi</t>
  </si>
  <si>
    <t>Scelta Comuni</t>
  </si>
  <si>
    <t>Vari</t>
  </si>
  <si>
    <t>Mesi</t>
  </si>
  <si>
    <t>Cons</t>
  </si>
  <si>
    <t>Comun</t>
  </si>
  <si>
    <t>Comune</t>
  </si>
  <si>
    <t>f2'</t>
  </si>
  <si>
    <t>Cmin</t>
  </si>
  <si>
    <t>Caratteristiche medie dello scarico</t>
  </si>
  <si>
    <t>Per eseguire il calcolo del corrispettivo di utenza per le acque reflue allo scarico è necessario avere:</t>
  </si>
  <si>
    <t>Istruzioni per l'uso del foglio di calcolo del corrispettivo di utenza "LarianaTariffeCalcolo.xls"</t>
  </si>
  <si>
    <t>Acquisizione  dei fogli di calcolo</t>
  </si>
  <si>
    <t>Installazione sul computer</t>
  </si>
  <si>
    <t>a.</t>
  </si>
  <si>
    <t>b.</t>
  </si>
  <si>
    <t>il programma di foglio elettronico Excel Microsoft versione Office 97 o superiore;</t>
  </si>
  <si>
    <t>c.</t>
  </si>
  <si>
    <t>Utilizzo del foglio di calcolo</t>
  </si>
  <si>
    <t>Cliccare sulla casella adiacente "Mesi di scarico" e scegliere il n° di mesi previsti per lo scarico attivo, normalmente</t>
  </si>
  <si>
    <t>Cliccare sulla casella adiacente "Consorzio" e scegliere il Consorzio di appartenenza.</t>
  </si>
  <si>
    <t>d.</t>
  </si>
  <si>
    <t>Cliccare sulla casella adiacente "Comune" e scegliere il Comune dove è situato l'insediamento produttivo.</t>
  </si>
  <si>
    <t>e.</t>
  </si>
  <si>
    <t>Cliccare sulla casella adiacente "Classe" e scegliere il la classe di appartenenza; è possibile trovare la propria classe</t>
  </si>
  <si>
    <t>f.</t>
  </si>
  <si>
    <t>A</t>
  </si>
  <si>
    <t>B</t>
  </si>
  <si>
    <t>C</t>
  </si>
  <si>
    <t>D</t>
  </si>
  <si>
    <t>E</t>
  </si>
  <si>
    <t>g.</t>
  </si>
  <si>
    <t>Aprire il programma Excel e caricare il file "LarianaTariffeCalcolo.xls";</t>
  </si>
  <si>
    <r>
      <t>nel codice utente posto in alto sinistra sulle fatture come da esempio: Ns. rif. 01.11.S001085.01</t>
    </r>
    <r>
      <rPr>
        <b/>
        <sz val="9"/>
        <rFont val="Comic Sans MS"/>
        <family val="4"/>
      </rPr>
      <t>B</t>
    </r>
    <r>
      <rPr>
        <sz val="9"/>
        <rFont val="Comic Sans MS"/>
        <family val="4"/>
      </rPr>
      <t xml:space="preserve">.01F.04 ; </t>
    </r>
    <r>
      <rPr>
        <b/>
        <sz val="9"/>
        <rFont val="Comic Sans MS"/>
        <family val="4"/>
      </rPr>
      <t>la classe è</t>
    </r>
  </si>
  <si>
    <t>evidenziata in neretto.</t>
  </si>
  <si>
    <t>-</t>
  </si>
  <si>
    <t>Nella seconda colonna e successive inserire i seguenti dati:</t>
  </si>
  <si>
    <r>
      <t>Portata scarico;</t>
    </r>
    <r>
      <rPr>
        <sz val="9"/>
        <rFont val="Comic Sans MS"/>
        <family val="4"/>
      </rPr>
      <t xml:space="preserve"> i mc. scaricati dalla data del primo prelievo sino alla data del secondo o successivo;</t>
    </r>
  </si>
  <si>
    <t>Lariana Depur a seguito di ogni prelievo ed analisi.</t>
  </si>
  <si>
    <t>l'elaborazione del corrispettivo di utenza sino a comunicazione di modifiche.</t>
  </si>
  <si>
    <t>Altri usi del foglio di calcolo del corrispettivo di utenza "LarianaTariffeCalcolo.xls"</t>
  </si>
  <si>
    <r>
      <t>Portata scarico;</t>
    </r>
    <r>
      <rPr>
        <sz val="9"/>
        <rFont val="Comic Sans MS"/>
        <family val="4"/>
      </rPr>
      <t xml:space="preserve"> i mc. scaricati dall'inizio dell' anno sino alla data del primo prelievo;</t>
    </r>
  </si>
  <si>
    <r>
      <t xml:space="preserve">Dopo l'inserimento dei dati, nelle righe </t>
    </r>
    <r>
      <rPr>
        <b/>
        <sz val="9"/>
        <rFont val="Comic Sans MS"/>
        <family val="4"/>
      </rPr>
      <t>"Corrispettivo €"</t>
    </r>
    <r>
      <rPr>
        <sz val="9"/>
        <rFont val="Comic Sans MS"/>
        <family val="4"/>
      </rPr>
      <t xml:space="preserve"> e </t>
    </r>
    <r>
      <rPr>
        <b/>
        <sz val="9"/>
        <rFont val="Comic Sans MS"/>
        <family val="4"/>
      </rPr>
      <t>"Costo al mc. €"</t>
    </r>
    <r>
      <rPr>
        <sz val="9"/>
        <rFont val="Comic Sans MS"/>
        <family val="4"/>
      </rPr>
      <t xml:space="preserve"> compare il calcolo in funzione dei dati immessi.</t>
    </r>
  </si>
  <si>
    <t>consorziati per l'anno in corso.</t>
  </si>
  <si>
    <t>Rendere attivo il foglio "Tariffa" cliccando sul foglio.</t>
  </si>
  <si>
    <t xml:space="preserve">12 mesi; il corrispettivo s'incrementa al diminuire il n° di mesi dello scarico. </t>
  </si>
  <si>
    <t>Eseguendo una copia del file "LarianaTariffeCalcolo.xls" e rinominandola, al fine di evitare cancellazioni, è possibile utilizzare il</t>
  </si>
  <si>
    <t>prima colonna;</t>
  </si>
  <si>
    <t>apporto di BOD: 15 kg./mc.* 10 mc. * 350 gr./kg. / 50 mc. - pari a  1.050 gr./mc o p.p.m.</t>
  </si>
  <si>
    <t>apporto di COD: 5 kg./mc.* 10 mc. * 850 gr./kg. / 50 mc. - pari a  850 gr./mc o p.p.m.</t>
  </si>
  <si>
    <t>#</t>
  </si>
  <si>
    <t>apporto di COD: 15 kg./mc.* 10 mc. * 750 gr./kg. / 50 mc. - pari a  2.250 gr./mc o p.p.m.</t>
  </si>
  <si>
    <t>apporto di BOD: 5 kg./mc.* 10 mc. * 300 gr./kg. / 50 mc. - pari a  300 gr./mc o p.p.m.</t>
  </si>
  <si>
    <t>foglio di calcolo per conoscere costo di depurazione di una particolare lavorazione o fra prodotti utilizzati; come da esempi:</t>
  </si>
  <si>
    <t>inserire nella prima colonna del foglio di calcolo i seguenti dati: portata di scarico = 10; COD = 700; BOD = 300.</t>
  </si>
  <si>
    <t>inserire nella prima colonna del foglio di calcolo i seguenti dati: portata di scarico = 8 COD = 900; BOD = 450.</t>
  </si>
  <si>
    <t>confrontando i costi di accquisto e depurazione fra i due prodotti si avrà:</t>
  </si>
  <si>
    <t>colonna;</t>
  </si>
  <si>
    <r>
      <t>Nota:</t>
    </r>
    <r>
      <rPr>
        <sz val="9"/>
        <color indexed="10"/>
        <rFont val="Comic Sans MS"/>
        <family val="4"/>
      </rPr>
      <t xml:space="preserve"> dal costo è escluso il carico inquinante apportato dal prodotto in lavorazione.</t>
    </r>
  </si>
  <si>
    <t>si avrà come risultato un corrispettivo pari a c.a. 6,14 €. Nota: sottrarre dal totale la voce Fisso d'Utenza.</t>
  </si>
  <si>
    <r>
      <t xml:space="preserve">volume del bagno mc. 10,  volume dei lavaggi mc. 40 - inserire il dato di 50 mc. nella casella </t>
    </r>
    <r>
      <rPr>
        <b/>
        <sz val="9"/>
        <color indexed="48"/>
        <rFont val="Comic Sans MS"/>
        <family val="4"/>
      </rPr>
      <t>portata di scarico</t>
    </r>
    <r>
      <rPr>
        <sz val="9"/>
        <color indexed="48"/>
        <rFont val="Comic Sans MS"/>
        <family val="4"/>
      </rPr>
      <t xml:space="preserve"> della</t>
    </r>
  </si>
  <si>
    <r>
      <t>prodotto "a"</t>
    </r>
    <r>
      <rPr>
        <sz val="9"/>
        <color indexed="48"/>
        <rFont val="Comic Sans MS"/>
        <family val="4"/>
      </rPr>
      <t xml:space="preserve"> - utilizzo 15 kg /mc. di bagno - COD 750 gr./kg. - BOD 350 gr./kg.</t>
    </r>
  </si>
  <si>
    <r>
      <t>prodotto "b"</t>
    </r>
    <r>
      <rPr>
        <sz val="9"/>
        <color indexed="48"/>
        <rFont val="Comic Sans MS"/>
        <family val="4"/>
      </rPr>
      <t xml:space="preserve"> - utilizzo  5 kg./mc. di bagno - COD 850 gr./kg. - BOD 300 gr./kg.</t>
    </r>
  </si>
  <si>
    <r>
      <t>COD gr./mc. =</t>
    </r>
    <r>
      <rPr>
        <sz val="9"/>
        <color indexed="48"/>
        <rFont val="Comic Sans MS"/>
        <family val="4"/>
      </rPr>
      <t xml:space="preserve"> 2.250 gr./mc. + 850 gr./mc. pari a </t>
    </r>
    <r>
      <rPr>
        <b/>
        <sz val="9"/>
        <color indexed="48"/>
        <rFont val="Comic Sans MS"/>
        <family val="4"/>
      </rPr>
      <t>3.100</t>
    </r>
    <r>
      <rPr>
        <sz val="9"/>
        <color indexed="48"/>
        <rFont val="Comic Sans MS"/>
        <family val="4"/>
      </rPr>
      <t xml:space="preserve"> gr./mc o p.p.m. - inserire il dato nella casella </t>
    </r>
    <r>
      <rPr>
        <b/>
        <sz val="9"/>
        <color indexed="48"/>
        <rFont val="Comic Sans MS"/>
        <family val="4"/>
      </rPr>
      <t xml:space="preserve">COD </t>
    </r>
    <r>
      <rPr>
        <sz val="9"/>
        <color indexed="48"/>
        <rFont val="Comic Sans MS"/>
        <family val="4"/>
      </rPr>
      <t>nella prima</t>
    </r>
  </si>
  <si>
    <r>
      <t>BOD gr./mc. =</t>
    </r>
    <r>
      <rPr>
        <sz val="9"/>
        <color indexed="48"/>
        <rFont val="Comic Sans MS"/>
        <family val="4"/>
      </rPr>
      <t xml:space="preserve"> 1.050 gr./mc. + 300 gr./mc. pari a </t>
    </r>
    <r>
      <rPr>
        <b/>
        <sz val="9"/>
        <color indexed="48"/>
        <rFont val="Comic Sans MS"/>
        <family val="4"/>
      </rPr>
      <t>1.350</t>
    </r>
    <r>
      <rPr>
        <sz val="9"/>
        <color indexed="48"/>
        <rFont val="Comic Sans MS"/>
        <family val="4"/>
      </rPr>
      <t xml:space="preserve"> gr./mc o p.p.m. - inserire il dato nella casella </t>
    </r>
    <r>
      <rPr>
        <b/>
        <sz val="9"/>
        <color indexed="48"/>
        <rFont val="Comic Sans MS"/>
        <family val="4"/>
      </rPr>
      <t>BOD</t>
    </r>
    <r>
      <rPr>
        <sz val="9"/>
        <color indexed="48"/>
        <rFont val="Comic Sans MS"/>
        <family val="4"/>
      </rPr>
      <t xml:space="preserve"> nella prima</t>
    </r>
  </si>
  <si>
    <r>
      <t>prodotto "a"</t>
    </r>
    <r>
      <rPr>
        <sz val="9"/>
        <color indexed="48"/>
        <rFont val="Comic Sans MS"/>
        <family val="4"/>
      </rPr>
      <t xml:space="preserve"> - utilizzo 10 kg /mc. di bagno - COD 700 gr./kg. - BOD 300 gr./kg. - prezzo 2,00 €/kg.</t>
    </r>
  </si>
  <si>
    <r>
      <t>prodotto "b"</t>
    </r>
    <r>
      <rPr>
        <sz val="9"/>
        <color indexed="48"/>
        <rFont val="Comic Sans MS"/>
        <family val="4"/>
      </rPr>
      <t xml:space="preserve"> - utilizzo  8 kg /mc. di bagno - COD 900 gr./kg. - BOD 450 gr./kg. - prezzo 2,50 €/kg.</t>
    </r>
  </si>
  <si>
    <r>
      <t>prodotto "a"</t>
    </r>
    <r>
      <rPr>
        <sz val="9"/>
        <color indexed="48"/>
        <rFont val="Comic Sans MS"/>
        <family val="4"/>
      </rPr>
      <t xml:space="preserve">  - 10 kg *  2,00 €/kg. + 6,14 €  = </t>
    </r>
    <r>
      <rPr>
        <b/>
        <sz val="9"/>
        <color indexed="48"/>
        <rFont val="Comic Sans MS"/>
        <family val="4"/>
      </rPr>
      <t>26,14 €</t>
    </r>
  </si>
  <si>
    <r>
      <t xml:space="preserve">prodotto "b" </t>
    </r>
    <r>
      <rPr>
        <sz val="9"/>
        <color indexed="48"/>
        <rFont val="Comic Sans MS"/>
        <family val="4"/>
      </rPr>
      <t xml:space="preserve"> -  8 kg *  2,50 €/kg. + 5,50 €  = </t>
    </r>
    <r>
      <rPr>
        <b/>
        <sz val="9"/>
        <color indexed="48"/>
        <rFont val="Comic Sans MS"/>
        <family val="4"/>
      </rPr>
      <t>25,50 €</t>
    </r>
  </si>
  <si>
    <r>
      <t xml:space="preserve">dove, a parità di efficacia, risulta economicamente conveniente acquistare il prodotto </t>
    </r>
    <r>
      <rPr>
        <b/>
        <sz val="9"/>
        <color indexed="48"/>
        <rFont val="Comic Sans MS"/>
        <family val="4"/>
      </rPr>
      <t>"b"</t>
    </r>
    <r>
      <rPr>
        <sz val="9"/>
        <color indexed="48"/>
        <rFont val="Comic Sans MS"/>
        <family val="4"/>
      </rPr>
      <t>.</t>
    </r>
  </si>
  <si>
    <t xml:space="preserve">Lariana Depur SpA </t>
  </si>
  <si>
    <t>DCoef1</t>
  </si>
  <si>
    <t>DCoef2</t>
  </si>
  <si>
    <t>DCoef3</t>
  </si>
  <si>
    <t>DCoef4</t>
  </si>
  <si>
    <t>dep</t>
  </si>
  <si>
    <t>TotDep</t>
  </si>
  <si>
    <t xml:space="preserve"> Totale Enti</t>
  </si>
  <si>
    <t>Depuraz.</t>
  </si>
  <si>
    <t>TotEnti</t>
  </si>
  <si>
    <t>Consortili:</t>
  </si>
  <si>
    <t>Comunali:</t>
  </si>
  <si>
    <t>Nota: Inserire nelle colonne sottostanti i dati: Data prelievo, Portata scarico, …. ecc..</t>
  </si>
  <si>
    <t>Coll. Cons.</t>
  </si>
  <si>
    <t>Totale Tar.</t>
  </si>
  <si>
    <t xml:space="preserve">Corrispettivo € </t>
  </si>
  <si>
    <t>viene inviata dalla Lariana Depur entro il 15 febbraio di ogni anno, può essere richiesta anticipatamente.</t>
  </si>
  <si>
    <r>
      <t xml:space="preserve">Dopo l'inserimento dei dati, nelle righe </t>
    </r>
    <r>
      <rPr>
        <b/>
        <sz val="9"/>
        <rFont val="Comic Sans MS"/>
        <family val="4"/>
      </rPr>
      <t>"Corrispettivo €"</t>
    </r>
    <r>
      <rPr>
        <sz val="9"/>
        <rFont val="Comic Sans MS"/>
        <family val="4"/>
      </rPr>
      <t xml:space="preserve"> e </t>
    </r>
    <r>
      <rPr>
        <b/>
        <sz val="9"/>
        <rFont val="Comic Sans MS"/>
        <family val="4"/>
      </rPr>
      <t>"Costo al mc. €"</t>
    </r>
    <r>
      <rPr>
        <sz val="9"/>
        <rFont val="Comic Sans MS"/>
        <family val="4"/>
      </rPr>
      <t xml:space="preserve"> compaiono i valori in funzione dei dati immessi.</t>
    </r>
  </si>
  <si>
    <r>
      <t>Costo di una lavorazione:</t>
    </r>
    <r>
      <rPr>
        <b/>
        <sz val="9"/>
        <color indexed="10"/>
        <rFont val="Comic Sans MS"/>
        <family val="4"/>
      </rPr>
      <t xml:space="preserve"> </t>
    </r>
    <r>
      <rPr>
        <sz val="9"/>
        <color indexed="10"/>
        <rFont val="Comic Sans MS"/>
        <family val="4"/>
      </rPr>
      <t>Nota dopo il calcolo sotrarre dal Totale  la voce Fisso Ut.</t>
    </r>
  </si>
  <si>
    <r>
      <t xml:space="preserve">si verificherà un totale pari a </t>
    </r>
    <r>
      <rPr>
        <b/>
        <sz val="9"/>
        <color indexed="48"/>
        <rFont val="Comic Sans MS"/>
        <family val="4"/>
      </rPr>
      <t>59,47 €</t>
    </r>
    <r>
      <rPr>
        <sz val="9"/>
        <color indexed="48"/>
        <rFont val="Comic Sans MS"/>
        <family val="4"/>
      </rPr>
      <t xml:space="preserve"> che diviso per le unità prodotte darà il costo unitario.</t>
    </r>
  </si>
  <si>
    <t>si avrà come risultato un totale pari a c.a. 5,50 €.</t>
  </si>
  <si>
    <r>
      <t>Confronto costi fra prodotti alternativi:</t>
    </r>
    <r>
      <rPr>
        <sz val="9"/>
        <color indexed="48"/>
        <rFont val="Comic Sans MS"/>
        <family val="4"/>
      </rPr>
      <t xml:space="preserve"> </t>
    </r>
    <r>
      <rPr>
        <sz val="9"/>
        <color indexed="10"/>
        <rFont val="Comic Sans MS"/>
        <family val="4"/>
      </rPr>
      <t>Nota dopo il calcolo sotrarre dal Totale  la voce Fisso Ut.</t>
    </r>
  </si>
  <si>
    <t>f2 minimo</t>
  </si>
  <si>
    <t>tot f2</t>
  </si>
  <si>
    <t xml:space="preserve">         Lariana Depur SpA</t>
  </si>
  <si>
    <t>Nella prima colonna "dati iniziali al 01/01/Anno  " inserire i seguenti dati:</t>
  </si>
  <si>
    <t>Foglio contenente dati di calcolo</t>
  </si>
  <si>
    <t xml:space="preserve">Corris. al mc. € </t>
  </si>
  <si>
    <t>C o e f f i c i e n t i    t a r i f f a r i</t>
  </si>
  <si>
    <t>Vs. Scarico:</t>
  </si>
  <si>
    <t>Nota:</t>
  </si>
  <si>
    <t>COD/BOD per tariffa</t>
  </si>
  <si>
    <t>rapporto fittizio per calcolo tariffa</t>
  </si>
  <si>
    <t xml:space="preserve">         </t>
  </si>
  <si>
    <t xml:space="preserve">      </t>
  </si>
  <si>
    <t>dal valore reale</t>
  </si>
  <si>
    <t>Consortili</t>
  </si>
  <si>
    <t>Consorzio</t>
  </si>
  <si>
    <t>VaK</t>
  </si>
  <si>
    <t>dv_min</t>
  </si>
  <si>
    <t>db_min</t>
  </si>
  <si>
    <t>df_min</t>
  </si>
  <si>
    <t>daN_min</t>
  </si>
  <si>
    <t>da3_min</t>
  </si>
  <si>
    <t>da4_min</t>
  </si>
  <si>
    <t>f Min</t>
  </si>
  <si>
    <t>Coefficienti Comunali</t>
  </si>
  <si>
    <t>Comuni</t>
  </si>
  <si>
    <t>f2p</t>
  </si>
  <si>
    <t>UxC</t>
  </si>
  <si>
    <t>A.T.O</t>
  </si>
  <si>
    <t>Lariana Depur SpA</t>
  </si>
  <si>
    <t>Foglio contenente i coefficienti comunali e consortili per l'anno</t>
  </si>
  <si>
    <t xml:space="preserve">Riduzione COD/BOD </t>
  </si>
  <si>
    <r>
      <t>il file "</t>
    </r>
    <r>
      <rPr>
        <b/>
        <i/>
        <sz val="9"/>
        <rFont val="Comic Sans MS"/>
        <family val="4"/>
      </rPr>
      <t>LarianaTariffeCalcolo.xls</t>
    </r>
    <r>
      <rPr>
        <sz val="9"/>
        <rFont val="Comic Sans MS"/>
        <family val="4"/>
      </rPr>
      <t>".</t>
    </r>
  </si>
  <si>
    <t>Nel foglio di calcolo "Tariffa" si esegue l'immissione dei dati e la visualizzazione dei risultati.</t>
  </si>
  <si>
    <t>Il file "LarianaTariffeCalcolo.xls" viene spedito dalla Lariana Depur agli utenti, è sempre valido  per</t>
  </si>
  <si>
    <t>il file all'interno;</t>
  </si>
  <si>
    <t>Scegliere una propria cartella di lavoro oppure aprirne una nuova ad es. "C:\Documenti\Tariffe Lariana" e copiare</t>
  </si>
  <si>
    <t>Nel foglio di calcolo "Dati" sono calcolati i coefficienti tariffari per il caso specifico</t>
  </si>
  <si>
    <t>Nel foglio di calcolo "Delibere" sono riportati i coefficienti tariffari deliberati dal Consorzio e dei Comuni</t>
  </si>
  <si>
    <r>
      <t>Colore, pH, Solidi sospesi, COD. BOD, ecc.;</t>
    </r>
    <r>
      <rPr>
        <sz val="9"/>
        <rFont val="Comic Sans MS"/>
        <family val="4"/>
      </rPr>
      <t xml:space="preserve"> i datipimc.it.endress.com
(da digitare nella barra degli indirizzi del Vs. browser – non occorre digitare “http://”)
 ricavabili dalla tabella "analisi acque scarico utenti" che </t>
    </r>
  </si>
  <si>
    <r>
      <t>Colore, pH, Solidi sospesi, COD. BOD, ecc.;</t>
    </r>
    <r>
      <rPr>
        <sz val="9"/>
        <rFont val="Comic Sans MS"/>
        <family val="4"/>
      </rPr>
      <t xml:space="preserve"> i dati ricavabili nel portale internet "pimc.it.endress.com" nell'Area Informativa - Reports o nell'Area Gestionale - Analisi</t>
    </r>
  </si>
  <si>
    <t xml:space="preserve">nell'Area Informativa - Reports o nell'Area Gestionale - Analisi oppure, </t>
  </si>
  <si>
    <t>per gli Utenti non telecontrollati e non presenti sul portale internet, dalla tabella "verbale analisi" che viene inviata dalla</t>
  </si>
  <si>
    <t>Moltiplicatori tariffari:</t>
  </si>
  <si>
    <t>moltarif</t>
  </si>
  <si>
    <t>ϑcol</t>
  </si>
  <si>
    <t>ϑfog</t>
  </si>
  <si>
    <t>ϑdep</t>
  </si>
  <si>
    <t>UI1</t>
  </si>
  <si>
    <t>UI2</t>
  </si>
  <si>
    <t>Comp tarif</t>
  </si>
  <si>
    <t>Comp.Tarif.</t>
  </si>
  <si>
    <t>Componenti Tariffari:</t>
  </si>
  <si>
    <t xml:space="preserve">1) Per il calcolo del coefficiente K di tariffa è utilizzato un rapporto COD/BOD con una detrazione di </t>
  </si>
  <si>
    <t>f2"</t>
  </si>
  <si>
    <t>(dal 2016)</t>
  </si>
  <si>
    <t>Anno</t>
  </si>
  <si>
    <t>ANNO</t>
  </si>
  <si>
    <t>TARIFFA ACQUE REFLUE INDUSTRIALI -  DELIBERAZIONE ARERA 665/2017/R/IDR - ATO COMO - ANNO 2018</t>
  </si>
  <si>
    <t>ANNO DI CALCOLO</t>
  </si>
  <si>
    <t>Utenti</t>
  </si>
  <si>
    <t>n°</t>
  </si>
  <si>
    <t>Moltip. tariffario di calcolo tariffa prev.</t>
  </si>
  <si>
    <t>Moltiplicatore tariffario anno di calcolo</t>
  </si>
  <si>
    <t>Fisso U. attuale</t>
  </si>
  <si>
    <t>%</t>
  </si>
  <si>
    <r>
      <rPr>
        <sz val="10"/>
        <color indexed="8"/>
        <rFont val="Calibri"/>
        <family val="2"/>
      </rPr>
      <t>≤</t>
    </r>
    <r>
      <rPr>
        <sz val="10"/>
        <color indexed="8"/>
        <rFont val="Arial"/>
        <family val="2"/>
      </rPr>
      <t>5</t>
    </r>
  </si>
  <si>
    <t>%QF imposta</t>
  </si>
  <si>
    <t>€QFg</t>
  </si>
  <si>
    <t>€/a</t>
  </si>
  <si>
    <t>Quota fissa di QF per gestione utente</t>
  </si>
  <si>
    <t>€QFm</t>
  </si>
  <si>
    <t>Quota fissa di QF per singolo misuratore</t>
  </si>
  <si>
    <t>€QFc</t>
  </si>
  <si>
    <t>Quota fissa di QF per singolo campionatore</t>
  </si>
  <si>
    <t>€QFt</t>
  </si>
  <si>
    <t>Quota fissa di QF per telecontrollo</t>
  </si>
  <si>
    <r>
      <rPr>
        <sz val="8"/>
        <color indexed="8"/>
        <rFont val="Symbol"/>
        <family val="1"/>
        <charset val="2"/>
      </rPr>
      <t>a</t>
    </r>
    <r>
      <rPr>
        <vertAlign val="subscript"/>
        <sz val="8"/>
        <color indexed="8"/>
        <rFont val="Arial"/>
        <family val="2"/>
      </rPr>
      <t>p</t>
    </r>
  </si>
  <si>
    <r>
      <t>1,0</t>
    </r>
    <r>
      <rPr>
        <sz val="10"/>
        <color indexed="8"/>
        <rFont val="Calibri"/>
        <family val="2"/>
      </rPr>
      <t>÷</t>
    </r>
    <r>
      <rPr>
        <sz val="10"/>
        <color indexed="8"/>
        <rFont val="Arial"/>
        <family val="2"/>
      </rPr>
      <t>1,5</t>
    </r>
  </si>
  <si>
    <r>
      <t xml:space="preserve">%Q </t>
    </r>
    <r>
      <rPr>
        <sz val="9"/>
        <color indexed="8"/>
        <rFont val="Arial"/>
        <family val="2"/>
      </rPr>
      <t>fognatura</t>
    </r>
  </si>
  <si>
    <t xml:space="preserve">Cmin </t>
  </si>
  <si>
    <t>Coefficiente minimo di moltiplicazione tariffa unitaria depurazione</t>
  </si>
  <si>
    <r>
      <t>S</t>
    </r>
    <r>
      <rPr>
        <vertAlign val="subscript"/>
        <sz val="10"/>
        <color indexed="8"/>
        <rFont val="Arial"/>
        <family val="2"/>
      </rPr>
      <t>QC</t>
    </r>
  </si>
  <si>
    <r>
      <t>0</t>
    </r>
    <r>
      <rPr>
        <sz val="10"/>
        <color indexed="8"/>
        <rFont val="Calibri"/>
        <family val="2"/>
      </rPr>
      <t>÷</t>
    </r>
    <r>
      <rPr>
        <sz val="10"/>
        <color indexed="8"/>
        <rFont val="Arial"/>
        <family val="2"/>
      </rPr>
      <t>20</t>
    </r>
  </si>
  <si>
    <t>Quota del totale depurazione da imputare alla Quota Capacità</t>
  </si>
  <si>
    <r>
      <t>qF</t>
    </r>
    <r>
      <rPr>
        <vertAlign val="subscript"/>
        <sz val="10"/>
        <color indexed="8"/>
        <rFont val="Arial"/>
        <family val="2"/>
      </rPr>
      <t>i</t>
    </r>
    <r>
      <rPr>
        <vertAlign val="superscript"/>
        <sz val="10"/>
        <color indexed="8"/>
        <rFont val="Arial"/>
        <family val="2"/>
      </rPr>
      <t>ATO</t>
    </r>
  </si>
  <si>
    <t>€</t>
  </si>
  <si>
    <t>Ipotesi di calcolo isoricavo su quota fissa imposta proporzionato su Volume</t>
  </si>
  <si>
    <r>
      <t>Td</t>
    </r>
    <r>
      <rPr>
        <vertAlign val="subscript"/>
        <sz val="10"/>
        <color indexed="8"/>
        <rFont val="Arial"/>
        <family val="2"/>
      </rPr>
      <t>capacità</t>
    </r>
    <r>
      <rPr>
        <vertAlign val="superscript"/>
        <sz val="10"/>
        <color indexed="8"/>
        <rFont val="Arial"/>
        <family val="2"/>
      </rPr>
      <t xml:space="preserve">ATO </t>
    </r>
    <r>
      <rPr>
        <sz val="10"/>
        <color indexed="8"/>
        <rFont val="Arial"/>
        <family val="2"/>
      </rPr>
      <t>/10</t>
    </r>
    <r>
      <rPr>
        <vertAlign val="superscript"/>
        <sz val="10"/>
        <color indexed="8"/>
        <rFont val="Arial"/>
        <family val="2"/>
      </rPr>
      <t>3</t>
    </r>
  </si>
  <si>
    <t>€/kg</t>
  </si>
  <si>
    <r>
      <t xml:space="preserve">Ipotesi di calcolo con % ricavo depurazione+fognatura  proporzionato su </t>
    </r>
    <r>
      <rPr>
        <sz val="10"/>
        <color indexed="8"/>
        <rFont val="Symbol"/>
        <family val="1"/>
        <charset val="2"/>
      </rPr>
      <t>S</t>
    </r>
    <r>
      <rPr>
        <sz val="10"/>
        <color indexed="8"/>
        <rFont val="Arial"/>
        <family val="2"/>
      </rPr>
      <t>C</t>
    </r>
  </si>
  <si>
    <r>
      <rPr>
        <sz val="10"/>
        <color indexed="8"/>
        <rFont val="Symbol"/>
        <family val="1"/>
        <charset val="2"/>
      </rPr>
      <t>S</t>
    </r>
    <r>
      <rPr>
        <sz val="10"/>
        <color indexed="8"/>
        <rFont val="Arial"/>
        <family val="2"/>
      </rPr>
      <t>C=</t>
    </r>
  </si>
  <si>
    <r>
      <t>(%</t>
    </r>
    <r>
      <rPr>
        <vertAlign val="subscript"/>
        <sz val="8"/>
        <color indexed="8"/>
        <rFont val="Arial"/>
        <family val="2"/>
      </rPr>
      <t>COD</t>
    </r>
    <r>
      <rPr>
        <sz val="8"/>
        <color indexed="8"/>
        <rFont val="Arial"/>
        <family val="2"/>
      </rPr>
      <t>COD</t>
    </r>
    <r>
      <rPr>
        <vertAlign val="subscript"/>
        <sz val="8"/>
        <color indexed="8"/>
        <rFont val="Arial"/>
        <family val="2"/>
      </rPr>
      <t xml:space="preserve">AUT </t>
    </r>
    <r>
      <rPr>
        <sz val="8"/>
        <color indexed="8"/>
        <rFont val="Arial"/>
        <family val="2"/>
      </rPr>
      <t>+</t>
    </r>
  </si>
  <si>
    <r>
      <t>%</t>
    </r>
    <r>
      <rPr>
        <vertAlign val="subscript"/>
        <sz val="8"/>
        <color indexed="8"/>
        <rFont val="Arial"/>
        <family val="2"/>
      </rPr>
      <t>SST</t>
    </r>
    <r>
      <rPr>
        <sz val="8"/>
        <color indexed="8"/>
        <rFont val="Arial"/>
        <family val="2"/>
      </rPr>
      <t xml:space="preserve"> SST</t>
    </r>
    <r>
      <rPr>
        <vertAlign val="subscript"/>
        <sz val="8"/>
        <color indexed="8"/>
        <rFont val="Arial"/>
        <family val="2"/>
      </rPr>
      <t>AUT</t>
    </r>
    <r>
      <rPr>
        <sz val="8"/>
        <color indexed="8"/>
        <rFont val="Arial"/>
        <family val="2"/>
      </rPr>
      <t>)V</t>
    </r>
    <r>
      <rPr>
        <vertAlign val="subscript"/>
        <sz val="8"/>
        <color indexed="8"/>
        <rFont val="Arial"/>
        <family val="2"/>
      </rPr>
      <t>AUT</t>
    </r>
    <r>
      <rPr>
        <sz val="8"/>
        <color indexed="8"/>
        <rFont val="Arial"/>
        <family val="2"/>
      </rPr>
      <t>/10</t>
    </r>
    <r>
      <rPr>
        <vertAlign val="superscript"/>
        <sz val="8"/>
        <color indexed="8"/>
        <rFont val="Arial"/>
        <family val="2"/>
      </rPr>
      <t>3</t>
    </r>
  </si>
  <si>
    <r>
      <t>Tf</t>
    </r>
    <r>
      <rPr>
        <vertAlign val="subscript"/>
        <sz val="10"/>
        <color indexed="8"/>
        <rFont val="Arial"/>
        <family val="2"/>
      </rPr>
      <t>i</t>
    </r>
    <r>
      <rPr>
        <vertAlign val="superscript"/>
        <sz val="10"/>
        <color indexed="8"/>
        <rFont val="Arial"/>
        <family val="2"/>
      </rPr>
      <t>ATO</t>
    </r>
  </si>
  <si>
    <r>
      <t>€/m</t>
    </r>
    <r>
      <rPr>
        <vertAlign val="superscript"/>
        <sz val="10"/>
        <color indexed="8"/>
        <rFont val="Arial"/>
        <family val="2"/>
      </rPr>
      <t>3</t>
    </r>
  </si>
  <si>
    <r>
      <t>Td</t>
    </r>
    <r>
      <rPr>
        <vertAlign val="subscript"/>
        <sz val="10"/>
        <color indexed="8"/>
        <rFont val="Arial"/>
        <family val="2"/>
      </rPr>
      <t>i</t>
    </r>
    <r>
      <rPr>
        <vertAlign val="superscript"/>
        <sz val="10"/>
        <color indexed="8"/>
        <rFont val="Arial"/>
        <family val="2"/>
      </rPr>
      <t>ATO</t>
    </r>
  </si>
  <si>
    <t>Mesi di fatturazione</t>
  </si>
  <si>
    <t>Massimo incremento (imax)</t>
  </si>
  <si>
    <r>
      <t>COD</t>
    </r>
    <r>
      <rPr>
        <vertAlign val="subscript"/>
        <sz val="10"/>
        <color indexed="8"/>
        <rFont val="Arial"/>
        <family val="2"/>
      </rPr>
      <t>rif</t>
    </r>
    <r>
      <rPr>
        <vertAlign val="superscript"/>
        <sz val="10"/>
        <color indexed="8"/>
        <rFont val="Arial"/>
        <family val="2"/>
      </rPr>
      <t>ATO</t>
    </r>
  </si>
  <si>
    <t>mg/l</t>
  </si>
  <si>
    <r>
      <t>SST</t>
    </r>
    <r>
      <rPr>
        <vertAlign val="subscript"/>
        <sz val="10"/>
        <color indexed="8"/>
        <rFont val="Arial"/>
        <family val="2"/>
      </rPr>
      <t>rif</t>
    </r>
    <r>
      <rPr>
        <vertAlign val="superscript"/>
        <sz val="10"/>
        <color indexed="8"/>
        <rFont val="Arial"/>
        <family val="2"/>
      </rPr>
      <t>ATO</t>
    </r>
  </si>
  <si>
    <r>
      <t>N</t>
    </r>
    <r>
      <rPr>
        <vertAlign val="subscript"/>
        <sz val="10"/>
        <color indexed="8"/>
        <rFont val="Arial"/>
        <family val="2"/>
      </rPr>
      <t>rif</t>
    </r>
    <r>
      <rPr>
        <vertAlign val="superscript"/>
        <sz val="10"/>
        <color indexed="8"/>
        <rFont val="Arial"/>
        <family val="2"/>
      </rPr>
      <t>ATO</t>
    </r>
  </si>
  <si>
    <r>
      <t>P</t>
    </r>
    <r>
      <rPr>
        <vertAlign val="subscript"/>
        <sz val="10"/>
        <color indexed="8"/>
        <rFont val="Arial"/>
        <family val="2"/>
      </rPr>
      <t>rif</t>
    </r>
    <r>
      <rPr>
        <vertAlign val="superscript"/>
        <sz val="10"/>
        <color indexed="8"/>
        <rFont val="Arial"/>
        <family val="2"/>
      </rPr>
      <t>ATO</t>
    </r>
  </si>
  <si>
    <r>
      <t>BOD</t>
    </r>
    <r>
      <rPr>
        <vertAlign val="subscript"/>
        <sz val="10"/>
        <color indexed="8"/>
        <rFont val="Arial"/>
        <family val="2"/>
      </rPr>
      <t>rif</t>
    </r>
    <r>
      <rPr>
        <vertAlign val="superscript"/>
        <sz val="10"/>
        <color indexed="8"/>
        <rFont val="Arial"/>
        <family val="2"/>
      </rPr>
      <t>ATO</t>
    </r>
  </si>
  <si>
    <r>
      <t>Colore</t>
    </r>
    <r>
      <rPr>
        <vertAlign val="subscript"/>
        <sz val="10"/>
        <color indexed="8"/>
        <rFont val="Arial"/>
        <family val="2"/>
      </rPr>
      <t>rif</t>
    </r>
    <r>
      <rPr>
        <vertAlign val="superscript"/>
        <sz val="10"/>
        <color indexed="8"/>
        <rFont val="Arial"/>
        <family val="2"/>
      </rPr>
      <t>ATO</t>
    </r>
  </si>
  <si>
    <t>dil 1:</t>
  </si>
  <si>
    <t>std</t>
  </si>
  <si>
    <t>min</t>
  </si>
  <si>
    <t>max</t>
  </si>
  <si>
    <r>
      <rPr>
        <sz val="10"/>
        <color indexed="8"/>
        <rFont val="Arial"/>
        <family val="2"/>
      </rPr>
      <t>%</t>
    </r>
    <r>
      <rPr>
        <vertAlign val="subscript"/>
        <sz val="10"/>
        <color indexed="8"/>
        <rFont val="Arial"/>
        <family val="2"/>
      </rPr>
      <t>COD</t>
    </r>
  </si>
  <si>
    <r>
      <rPr>
        <sz val="10"/>
        <color indexed="8"/>
        <rFont val="Arial"/>
        <family val="2"/>
      </rPr>
      <t>%</t>
    </r>
    <r>
      <rPr>
        <vertAlign val="subscript"/>
        <sz val="10"/>
        <color indexed="8"/>
        <rFont val="Arial"/>
        <family val="2"/>
      </rPr>
      <t>SST</t>
    </r>
  </si>
  <si>
    <r>
      <rPr>
        <sz val="10"/>
        <color indexed="8"/>
        <rFont val="Arial"/>
        <family val="2"/>
      </rPr>
      <t>%</t>
    </r>
    <r>
      <rPr>
        <vertAlign val="subscript"/>
        <sz val="10"/>
        <color indexed="8"/>
        <rFont val="Arial"/>
        <family val="2"/>
      </rPr>
      <t>N</t>
    </r>
  </si>
  <si>
    <r>
      <rPr>
        <sz val="10"/>
        <color indexed="8"/>
        <rFont val="Arial"/>
        <family val="2"/>
      </rPr>
      <t>%</t>
    </r>
    <r>
      <rPr>
        <vertAlign val="subscript"/>
        <sz val="10"/>
        <color indexed="8"/>
        <rFont val="Arial"/>
        <family val="2"/>
      </rPr>
      <t>P</t>
    </r>
  </si>
  <si>
    <t>=100</t>
  </si>
  <si>
    <r>
      <rPr>
        <sz val="10"/>
        <color indexed="8"/>
        <rFont val="Arial"/>
        <family val="2"/>
      </rPr>
      <t>%</t>
    </r>
    <r>
      <rPr>
        <vertAlign val="subscript"/>
        <sz val="10"/>
        <color indexed="8"/>
        <rFont val="Arial"/>
        <family val="2"/>
      </rPr>
      <t>BOD</t>
    </r>
  </si>
  <si>
    <r>
      <rPr>
        <sz val="10"/>
        <color indexed="8"/>
        <rFont val="Arial"/>
        <family val="2"/>
      </rPr>
      <t>%</t>
    </r>
    <r>
      <rPr>
        <vertAlign val="subscript"/>
        <sz val="10"/>
        <color indexed="8"/>
        <rFont val="Arial"/>
        <family val="2"/>
      </rPr>
      <t>Colore</t>
    </r>
  </si>
  <si>
    <t>≤50</t>
  </si>
  <si>
    <t>DATI ANNO DI CALCOLO</t>
  </si>
  <si>
    <t>INSTAL.</t>
  </si>
  <si>
    <t>AUTORIZZAZIONE ANNO DI CALCOLO</t>
  </si>
  <si>
    <t>TARIFFA PREVIGENTE CALCOLATA</t>
  </si>
  <si>
    <t>COMPONENTI TARIFFARI ANNO DI CALCOLO</t>
  </si>
  <si>
    <t>TARIFFA PREVIGENTE ANNO DI CALCOLO</t>
  </si>
  <si>
    <t>TARIFFA DELIBERAZIONE 665/2017/R/IDR</t>
  </si>
  <si>
    <t>DIFFERENZE CALCOLO TARIFFE</t>
  </si>
  <si>
    <t>RIPARTIZIONE QUOTA FISSA</t>
  </si>
  <si>
    <t>RIDUZIONE E RIPARTIZIONE RIDUZIONE</t>
  </si>
  <si>
    <t xml:space="preserve">TARIFFA </t>
  </si>
  <si>
    <t>TARIFFA CON RIDUZIONE PER MASSIMO INCREMENTO</t>
  </si>
  <si>
    <t>CORRISPETTIVO SERVIZI</t>
  </si>
  <si>
    <t>UTENTE</t>
  </si>
  <si>
    <t>UP</t>
  </si>
  <si>
    <r>
      <t>V</t>
    </r>
    <r>
      <rPr>
        <b/>
        <vertAlign val="subscript"/>
        <sz val="10"/>
        <color indexed="8"/>
        <rFont val="Arial"/>
        <family val="2"/>
      </rPr>
      <t>i</t>
    </r>
  </si>
  <si>
    <r>
      <t>COD</t>
    </r>
    <r>
      <rPr>
        <b/>
        <vertAlign val="subscript"/>
        <sz val="10"/>
        <color indexed="8"/>
        <rFont val="Arial"/>
        <family val="2"/>
      </rPr>
      <t>i</t>
    </r>
  </si>
  <si>
    <r>
      <t>BOD</t>
    </r>
    <r>
      <rPr>
        <b/>
        <vertAlign val="subscript"/>
        <sz val="10"/>
        <color indexed="8"/>
        <rFont val="Arial"/>
        <family val="2"/>
      </rPr>
      <t>i</t>
    </r>
  </si>
  <si>
    <r>
      <t>SST</t>
    </r>
    <r>
      <rPr>
        <b/>
        <vertAlign val="subscript"/>
        <sz val="10"/>
        <color indexed="8"/>
        <rFont val="Arial"/>
        <family val="2"/>
      </rPr>
      <t>i</t>
    </r>
  </si>
  <si>
    <r>
      <t>N</t>
    </r>
    <r>
      <rPr>
        <b/>
        <vertAlign val="subscript"/>
        <sz val="10"/>
        <color indexed="8"/>
        <rFont val="Arial"/>
        <family val="2"/>
      </rPr>
      <t>i</t>
    </r>
  </si>
  <si>
    <r>
      <t>P</t>
    </r>
    <r>
      <rPr>
        <b/>
        <vertAlign val="subscript"/>
        <sz val="10"/>
        <color indexed="8"/>
        <rFont val="Arial"/>
        <family val="2"/>
      </rPr>
      <t>i</t>
    </r>
  </si>
  <si>
    <r>
      <rPr>
        <b/>
        <sz val="9"/>
        <color indexed="8"/>
        <rFont val="Arial"/>
        <family val="2"/>
      </rPr>
      <t>Colore</t>
    </r>
    <r>
      <rPr>
        <b/>
        <vertAlign val="subscript"/>
        <sz val="10"/>
        <color indexed="8"/>
        <rFont val="Arial"/>
        <family val="2"/>
      </rPr>
      <t>i</t>
    </r>
  </si>
  <si>
    <t>Mis.</t>
  </si>
  <si>
    <t>Cam.</t>
  </si>
  <si>
    <t>Tel.</t>
  </si>
  <si>
    <r>
      <t>Q</t>
    </r>
    <r>
      <rPr>
        <b/>
        <vertAlign val="subscript"/>
        <sz val="10"/>
        <color indexed="8"/>
        <rFont val="Arial"/>
        <family val="2"/>
      </rPr>
      <t>aut</t>
    </r>
  </si>
  <si>
    <r>
      <t>COD</t>
    </r>
    <r>
      <rPr>
        <b/>
        <vertAlign val="subscript"/>
        <sz val="10"/>
        <color indexed="8"/>
        <rFont val="Arial"/>
        <family val="2"/>
      </rPr>
      <t>aut</t>
    </r>
  </si>
  <si>
    <r>
      <t>BOD</t>
    </r>
    <r>
      <rPr>
        <b/>
        <vertAlign val="subscript"/>
        <sz val="10"/>
        <color indexed="8"/>
        <rFont val="Arial"/>
        <family val="2"/>
      </rPr>
      <t>aut</t>
    </r>
  </si>
  <si>
    <r>
      <t>SST</t>
    </r>
    <r>
      <rPr>
        <b/>
        <vertAlign val="subscript"/>
        <sz val="10"/>
        <color indexed="8"/>
        <rFont val="Arial"/>
        <family val="2"/>
      </rPr>
      <t>aut</t>
    </r>
  </si>
  <si>
    <r>
      <rPr>
        <b/>
        <sz val="9"/>
        <color indexed="8"/>
        <rFont val="Arial"/>
        <family val="2"/>
      </rPr>
      <t>Col.</t>
    </r>
    <r>
      <rPr>
        <b/>
        <vertAlign val="subscript"/>
        <sz val="10"/>
        <color indexed="8"/>
        <rFont val="Arial"/>
        <family val="2"/>
      </rPr>
      <t>aut</t>
    </r>
  </si>
  <si>
    <t>Collettore</t>
  </si>
  <si>
    <t>Fognatura</t>
  </si>
  <si>
    <t>Depuraz</t>
  </si>
  <si>
    <t>Deroghe</t>
  </si>
  <si>
    <t>UI1f</t>
  </si>
  <si>
    <t>UI1d</t>
  </si>
  <si>
    <t>UI2f</t>
  </si>
  <si>
    <t>UI2d</t>
  </si>
  <si>
    <t>Depu+Der</t>
  </si>
  <si>
    <r>
      <t>T</t>
    </r>
    <r>
      <rPr>
        <b/>
        <vertAlign val="subscript"/>
        <sz val="10"/>
        <color indexed="8"/>
        <rFont val="Arial"/>
        <family val="2"/>
      </rPr>
      <t>i</t>
    </r>
    <r>
      <rPr>
        <b/>
        <vertAlign val="superscript"/>
        <sz val="10"/>
        <color indexed="8"/>
        <rFont val="Arial"/>
        <family val="2"/>
      </rPr>
      <t>ATT</t>
    </r>
  </si>
  <si>
    <r>
      <t>t</t>
    </r>
    <r>
      <rPr>
        <b/>
        <vertAlign val="subscript"/>
        <sz val="8"/>
        <color indexed="8"/>
        <rFont val="Arial"/>
        <family val="2"/>
      </rPr>
      <t>i</t>
    </r>
    <r>
      <rPr>
        <b/>
        <vertAlign val="superscript"/>
        <sz val="8"/>
        <color indexed="8"/>
        <rFont val="Arial"/>
        <family val="2"/>
      </rPr>
      <t>ATT</t>
    </r>
  </si>
  <si>
    <t>QFiATO</t>
  </si>
  <si>
    <t>QCiATO</t>
  </si>
  <si>
    <r>
      <rPr>
        <b/>
        <sz val="10"/>
        <color indexed="8"/>
        <rFont val="Symbol"/>
        <family val="1"/>
        <charset val="2"/>
      </rPr>
      <t>S</t>
    </r>
    <r>
      <rPr>
        <b/>
        <sz val="10"/>
        <color indexed="8"/>
        <rFont val="Arial"/>
        <family val="2"/>
      </rPr>
      <t>C</t>
    </r>
  </si>
  <si>
    <t xml:space="preserve">Coeff. </t>
  </si>
  <si>
    <t>Coeff. X V</t>
  </si>
  <si>
    <r>
      <rPr>
        <b/>
        <sz val="8"/>
        <color indexed="8"/>
        <rFont val="Symbol"/>
        <family val="1"/>
        <charset val="2"/>
      </rPr>
      <t>a</t>
    </r>
    <r>
      <rPr>
        <b/>
        <vertAlign val="subscript"/>
        <sz val="8"/>
        <color indexed="8"/>
        <rFont val="Arial"/>
        <family val="2"/>
      </rPr>
      <t>p</t>
    </r>
  </si>
  <si>
    <r>
      <t>QV</t>
    </r>
    <r>
      <rPr>
        <b/>
        <vertAlign val="subscript"/>
        <sz val="8"/>
        <color indexed="8"/>
        <rFont val="Arial"/>
        <family val="2"/>
      </rPr>
      <t>i</t>
    </r>
    <r>
      <rPr>
        <b/>
        <vertAlign val="superscript"/>
        <sz val="8"/>
        <color indexed="8"/>
        <rFont val="Arial"/>
        <family val="2"/>
      </rPr>
      <t xml:space="preserve">ATO </t>
    </r>
    <r>
      <rPr>
        <b/>
        <sz val="8"/>
        <color indexed="8"/>
        <rFont val="Arial"/>
        <family val="2"/>
      </rPr>
      <t>fog</t>
    </r>
  </si>
  <si>
    <r>
      <t>qV</t>
    </r>
    <r>
      <rPr>
        <b/>
        <vertAlign val="subscript"/>
        <sz val="8"/>
        <color indexed="8"/>
        <rFont val="Arial"/>
        <family val="2"/>
      </rPr>
      <t>i</t>
    </r>
    <r>
      <rPr>
        <b/>
        <vertAlign val="superscript"/>
        <sz val="8"/>
        <color indexed="8"/>
        <rFont val="Arial"/>
        <family val="2"/>
      </rPr>
      <t xml:space="preserve">ATO </t>
    </r>
    <r>
      <rPr>
        <b/>
        <sz val="8"/>
        <color indexed="8"/>
        <rFont val="Arial"/>
        <family val="2"/>
      </rPr>
      <t>fog</t>
    </r>
  </si>
  <si>
    <r>
      <t>QV</t>
    </r>
    <r>
      <rPr>
        <b/>
        <vertAlign val="subscript"/>
        <sz val="8"/>
        <color indexed="8"/>
        <rFont val="Arial"/>
        <family val="2"/>
      </rPr>
      <t>i</t>
    </r>
    <r>
      <rPr>
        <b/>
        <vertAlign val="superscript"/>
        <sz val="8"/>
        <color indexed="8"/>
        <rFont val="Arial"/>
        <family val="2"/>
      </rPr>
      <t xml:space="preserve">ATO </t>
    </r>
    <r>
      <rPr>
        <b/>
        <sz val="8"/>
        <color indexed="8"/>
        <rFont val="Arial"/>
        <family val="2"/>
      </rPr>
      <t>dep</t>
    </r>
  </si>
  <si>
    <r>
      <t>qV</t>
    </r>
    <r>
      <rPr>
        <b/>
        <vertAlign val="subscript"/>
        <sz val="8"/>
        <color indexed="8"/>
        <rFont val="Arial"/>
        <family val="2"/>
      </rPr>
      <t>i</t>
    </r>
    <r>
      <rPr>
        <b/>
        <vertAlign val="superscript"/>
        <sz val="8"/>
        <color indexed="8"/>
        <rFont val="Arial"/>
        <family val="2"/>
      </rPr>
      <t xml:space="preserve">ATO </t>
    </r>
    <r>
      <rPr>
        <b/>
        <sz val="8"/>
        <color indexed="8"/>
        <rFont val="Arial"/>
        <family val="2"/>
      </rPr>
      <t>dep</t>
    </r>
  </si>
  <si>
    <r>
      <t>QV</t>
    </r>
    <r>
      <rPr>
        <b/>
        <vertAlign val="subscript"/>
        <sz val="10"/>
        <color indexed="8"/>
        <rFont val="Arial"/>
        <family val="2"/>
      </rPr>
      <t>i</t>
    </r>
    <r>
      <rPr>
        <b/>
        <vertAlign val="superscript"/>
        <sz val="10"/>
        <color indexed="8"/>
        <rFont val="Arial"/>
        <family val="2"/>
      </rPr>
      <t>ATO</t>
    </r>
  </si>
  <si>
    <r>
      <t>qV</t>
    </r>
    <r>
      <rPr>
        <b/>
        <vertAlign val="subscript"/>
        <sz val="8"/>
        <color indexed="8"/>
        <rFont val="Arial"/>
        <family val="2"/>
      </rPr>
      <t>i</t>
    </r>
    <r>
      <rPr>
        <b/>
        <vertAlign val="superscript"/>
        <sz val="8"/>
        <color indexed="8"/>
        <rFont val="Arial"/>
        <family val="2"/>
      </rPr>
      <t>ATO</t>
    </r>
  </si>
  <si>
    <r>
      <t>T</t>
    </r>
    <r>
      <rPr>
        <b/>
        <vertAlign val="subscript"/>
        <sz val="10"/>
        <color indexed="8"/>
        <rFont val="Arial"/>
        <family val="2"/>
      </rPr>
      <t>i</t>
    </r>
    <r>
      <rPr>
        <b/>
        <vertAlign val="superscript"/>
        <sz val="10"/>
        <color indexed="8"/>
        <rFont val="Arial"/>
        <family val="2"/>
      </rPr>
      <t>ATO</t>
    </r>
  </si>
  <si>
    <r>
      <t>t</t>
    </r>
    <r>
      <rPr>
        <b/>
        <vertAlign val="subscript"/>
        <sz val="8"/>
        <color indexed="8"/>
        <rFont val="Arial"/>
        <family val="2"/>
      </rPr>
      <t>i</t>
    </r>
    <r>
      <rPr>
        <b/>
        <vertAlign val="superscript"/>
        <sz val="8"/>
        <color indexed="8"/>
        <rFont val="Arial"/>
        <family val="2"/>
      </rPr>
      <t>ATO</t>
    </r>
  </si>
  <si>
    <r>
      <rPr>
        <b/>
        <sz val="8"/>
        <color indexed="8"/>
        <rFont val="Symbol"/>
        <family val="1"/>
        <charset val="2"/>
      </rPr>
      <t>D</t>
    </r>
    <r>
      <rPr>
        <b/>
        <sz val="8"/>
        <color indexed="8"/>
        <rFont val="Arial"/>
        <family val="2"/>
      </rPr>
      <t>fi</t>
    </r>
    <r>
      <rPr>
        <b/>
        <sz val="8"/>
        <color indexed="8"/>
        <rFont val="Symbol"/>
        <family val="1"/>
        <charset val="2"/>
      </rPr>
      <t>+</t>
    </r>
    <r>
      <rPr>
        <b/>
        <sz val="8"/>
        <color indexed="8"/>
        <rFont val="Arial"/>
        <family val="2"/>
      </rPr>
      <t>fog</t>
    </r>
  </si>
  <si>
    <r>
      <rPr>
        <b/>
        <sz val="8"/>
        <color indexed="8"/>
        <rFont val="Symbol"/>
        <family val="1"/>
        <charset val="2"/>
      </rPr>
      <t>D</t>
    </r>
    <r>
      <rPr>
        <b/>
        <sz val="8"/>
        <color indexed="8"/>
        <rFont val="Arial"/>
        <family val="2"/>
      </rPr>
      <t>dep</t>
    </r>
  </si>
  <si>
    <r>
      <rPr>
        <b/>
        <sz val="8"/>
        <color indexed="8"/>
        <rFont val="Symbol"/>
        <family val="1"/>
        <charset val="2"/>
      </rPr>
      <t>D</t>
    </r>
    <r>
      <rPr>
        <b/>
        <sz val="8"/>
        <color indexed="8"/>
        <rFont val="Arial"/>
        <family val="2"/>
      </rPr>
      <t>t</t>
    </r>
    <r>
      <rPr>
        <b/>
        <vertAlign val="subscript"/>
        <sz val="8"/>
        <color indexed="8"/>
        <rFont val="Arial"/>
        <family val="2"/>
      </rPr>
      <t>i</t>
    </r>
    <r>
      <rPr>
        <b/>
        <vertAlign val="superscript"/>
        <sz val="8"/>
        <color indexed="8"/>
        <rFont val="Arial"/>
        <family val="2"/>
      </rPr>
      <t>ATO</t>
    </r>
  </si>
  <si>
    <r>
      <rPr>
        <b/>
        <sz val="8"/>
        <color indexed="8"/>
        <rFont val="Symbol"/>
        <family val="1"/>
        <charset val="2"/>
      </rPr>
      <t>D</t>
    </r>
    <r>
      <rPr>
        <b/>
        <sz val="8"/>
        <color indexed="8"/>
        <rFont val="Arial"/>
        <family val="2"/>
      </rPr>
      <t>T</t>
    </r>
    <r>
      <rPr>
        <b/>
        <vertAlign val="subscript"/>
        <sz val="8"/>
        <color indexed="8"/>
        <rFont val="Arial"/>
        <family val="2"/>
      </rPr>
      <t>i</t>
    </r>
    <r>
      <rPr>
        <b/>
        <vertAlign val="superscript"/>
        <sz val="8"/>
        <color indexed="8"/>
        <rFont val="Arial"/>
        <family val="2"/>
      </rPr>
      <t>ATO</t>
    </r>
  </si>
  <si>
    <t>QF1</t>
  </si>
  <si>
    <t>QF2</t>
  </si>
  <si>
    <t>QFfog</t>
  </si>
  <si>
    <t>QFdep</t>
  </si>
  <si>
    <t>controllo</t>
  </si>
  <si>
    <t>Tn-imax*Tp</t>
  </si>
  <si>
    <t>rid QF</t>
  </si>
  <si>
    <t>rid QFfog</t>
  </si>
  <si>
    <t>rid QFdep</t>
  </si>
  <si>
    <t>rid QC</t>
  </si>
  <si>
    <t>rid QVfog</t>
  </si>
  <si>
    <t>rid QVdep</t>
  </si>
  <si>
    <t>QC</t>
  </si>
  <si>
    <t>QVfog</t>
  </si>
  <si>
    <t>QVdep</t>
  </si>
  <si>
    <t>TOT-n</t>
  </si>
  <si>
    <t>QFfogrid</t>
  </si>
  <si>
    <t>QFdeprid</t>
  </si>
  <si>
    <t>QCrid</t>
  </si>
  <si>
    <t>QVfogrid</t>
  </si>
  <si>
    <t>QVdeprid</t>
  </si>
  <si>
    <t>TOT-nrid</t>
  </si>
  <si>
    <t>FOGp</t>
  </si>
  <si>
    <t>DEPp</t>
  </si>
  <si>
    <t>TOTp</t>
  </si>
  <si>
    <t>FOGn</t>
  </si>
  <si>
    <t>DEPn</t>
  </si>
  <si>
    <t>TOTn</t>
  </si>
  <si>
    <t>FOGnrid</t>
  </si>
  <si>
    <t>DEPnrid</t>
  </si>
  <si>
    <t>TOTnrid</t>
  </si>
  <si>
    <r>
      <t>m</t>
    </r>
    <r>
      <rPr>
        <vertAlign val="superscript"/>
        <sz val="10"/>
        <color indexed="8"/>
        <rFont val="Arial"/>
        <family val="2"/>
      </rPr>
      <t>3</t>
    </r>
  </si>
  <si>
    <r>
      <t>€/m</t>
    </r>
    <r>
      <rPr>
        <vertAlign val="superscript"/>
        <sz val="8"/>
        <color indexed="8"/>
        <rFont val="Arial"/>
        <family val="2"/>
      </rPr>
      <t>3</t>
    </r>
  </si>
  <si>
    <t>TOTALE</t>
  </si>
  <si>
    <t>Differenza su tariffa previgente</t>
  </si>
  <si>
    <t>Differenza su tariffa vigente</t>
  </si>
  <si>
    <t>MESI</t>
  </si>
  <si>
    <t>Azoto Totale - N</t>
  </si>
  <si>
    <t>Fosforo Totale - P</t>
  </si>
  <si>
    <t>Autorizzazione</t>
  </si>
  <si>
    <t>Calcolo corrispettivo con formula tariffaria previgente</t>
  </si>
  <si>
    <t>Fisso Utenza</t>
  </si>
  <si>
    <t>Fognatura comunale</t>
  </si>
  <si>
    <t>Collettore consortile</t>
  </si>
  <si>
    <t>Depurazione</t>
  </si>
  <si>
    <t>Calcolo corrispettivo con formula tariffaria ai sensi delibera ARERA 665/2017/R/IDR</t>
  </si>
  <si>
    <t>Quota fissa - Fognatura</t>
  </si>
  <si>
    <t>Quota fissa - Depurazione</t>
  </si>
  <si>
    <t>Quota capacità</t>
  </si>
  <si>
    <t>Quota variabile - Fognatura</t>
  </si>
  <si>
    <t>Quota variabile - Depurazione</t>
  </si>
  <si>
    <t>Volume di scarico</t>
  </si>
  <si>
    <r>
      <t>BOD</t>
    </r>
    <r>
      <rPr>
        <vertAlign val="subscript"/>
        <sz val="10"/>
        <rFont val="Arial"/>
        <family val="2"/>
      </rPr>
      <t>5</t>
    </r>
  </si>
  <si>
    <t>---------------------</t>
  </si>
  <si>
    <t>Misuratori n°</t>
  </si>
  <si>
    <t>Campionatori n°</t>
  </si>
  <si>
    <t>Telecontrollo n°</t>
  </si>
  <si>
    <t>CALCOLO TARIFFA SERVIZI DI FOGNATURA E DEPURAZIONE ACQUE REFLUE</t>
  </si>
  <si>
    <r>
      <t xml:space="preserve">TOTALE corrispettivo </t>
    </r>
    <r>
      <rPr>
        <b/>
        <sz val="8"/>
        <rFont val="Arial"/>
        <family val="2"/>
      </rPr>
      <t>(con vincolo sui ricavi)</t>
    </r>
  </si>
  <si>
    <r>
      <t xml:space="preserve">TOTALE corrispettivo </t>
    </r>
    <r>
      <rPr>
        <sz val="8"/>
        <rFont val="Arial"/>
        <family val="2"/>
      </rPr>
      <t>(senza vincolo sui ricavi)</t>
    </r>
  </si>
  <si>
    <t>alto seveso</t>
  </si>
  <si>
    <t>Mese</t>
  </si>
  <si>
    <t>Mesi di scarico anno</t>
  </si>
  <si>
    <t>Bacino</t>
  </si>
  <si>
    <t>Numero</t>
  </si>
  <si>
    <t>Autorizzazione allo scarico</t>
  </si>
  <si>
    <t>Solidi Sospesi Totali - SST</t>
  </si>
  <si>
    <t>Colore</t>
  </si>
  <si>
    <t>non perc. con dil. 1:</t>
  </si>
  <si>
    <t>1°</t>
  </si>
  <si>
    <t>2°</t>
  </si>
  <si>
    <t>3°</t>
  </si>
  <si>
    <t>4°</t>
  </si>
  <si>
    <t>5°</t>
  </si>
  <si>
    <t>6°</t>
  </si>
  <si>
    <t>7°</t>
  </si>
  <si>
    <t>8°</t>
  </si>
  <si>
    <t>9°</t>
  </si>
  <si>
    <t>10°</t>
  </si>
  <si>
    <t>11°</t>
  </si>
  <si>
    <t>12°</t>
  </si>
  <si>
    <t>13°</t>
  </si>
  <si>
    <t>14°</t>
  </si>
  <si>
    <t>15°</t>
  </si>
  <si>
    <t>16°</t>
  </si>
  <si>
    <r>
      <t>ϑfog</t>
    </r>
    <r>
      <rPr>
        <b/>
        <vertAlign val="superscript"/>
        <sz val="8"/>
        <color indexed="8"/>
        <rFont val="Arial"/>
        <family val="2"/>
      </rPr>
      <t>a</t>
    </r>
  </si>
  <si>
    <r>
      <t>ϑ</t>
    </r>
    <r>
      <rPr>
        <b/>
        <vertAlign val="subscript"/>
        <sz val="8"/>
        <color indexed="8"/>
        <rFont val="Arial"/>
        <family val="2"/>
      </rPr>
      <t>col</t>
    </r>
    <r>
      <rPr>
        <b/>
        <vertAlign val="superscript"/>
        <sz val="8"/>
        <color indexed="8"/>
        <rFont val="Arial"/>
        <family val="2"/>
      </rPr>
      <t>a</t>
    </r>
  </si>
  <si>
    <r>
      <t>ϑ</t>
    </r>
    <r>
      <rPr>
        <b/>
        <vertAlign val="subscript"/>
        <sz val="8"/>
        <color indexed="8"/>
        <rFont val="Arial"/>
        <family val="2"/>
      </rPr>
      <t>dep</t>
    </r>
    <r>
      <rPr>
        <b/>
        <vertAlign val="superscript"/>
        <sz val="8"/>
        <color indexed="8"/>
        <rFont val="Arial"/>
        <family val="2"/>
      </rPr>
      <t>a</t>
    </r>
  </si>
  <si>
    <t>Azoto</t>
  </si>
  <si>
    <t>Fosforo</t>
  </si>
  <si>
    <t>Mesi di scarico</t>
  </si>
  <si>
    <t>Quote fisse</t>
  </si>
  <si>
    <t>Percentuali di costo</t>
  </si>
  <si>
    <t>Tariffa unitaria</t>
  </si>
  <si>
    <t>Concentrazioni di riferimento</t>
  </si>
  <si>
    <r>
      <t>m</t>
    </r>
    <r>
      <rPr>
        <vertAlign val="superscript"/>
        <sz val="8"/>
        <rFont val="Arial"/>
        <family val="2"/>
      </rPr>
      <t>3</t>
    </r>
  </si>
  <si>
    <t>CALCOLO CORRISPETTIVI PER GLI SCARICHI IN DEROGA - LARIANA DEPUR SpA</t>
  </si>
  <si>
    <t>(Delibera CdA Lariana Depur SpA del 12 Febbraio 2014)</t>
  </si>
  <si>
    <t>Premessa</t>
  </si>
  <si>
    <t xml:space="preserve">L’incremento proposto è calcolato in funzione del numero dei parametri derogati, dell’entità della deroga concessa e della pericolosità/costi degli stessi per il processo di fognatura/collettamento/depurazione: per i parametri di azoto e fosforo (indicati con la lettera “i”) si è utilizzato un criterio economico identico a quello in uso all’AATO di Lecco, mentre per tutti gli altri parametri (indicati con la lettera “j”) si è utilizzata una formula similare a quella adottata dalla SMAT di Torino. Le modalità di calcolo dei corrispettivi conseguenti all’applicazione di deroghe ai limiti allo scarico di utenze industriali sono state condivise dal gruppo di lavoro composto anche da Sud Seveso Servizi SpA, Valbe Servizi SpA, Lariana Depur Srl, Altolura Srl, Comodepur SpA e Colline Comasche Srl.
</t>
  </si>
  <si>
    <t>Formula di calcolo</t>
  </si>
  <si>
    <r>
      <t>T* =  T (1+k∙Sc∙∑</t>
    </r>
    <r>
      <rPr>
        <vertAlign val="subscript"/>
        <sz val="12"/>
        <color theme="1"/>
        <rFont val="Arial"/>
        <family val="2"/>
      </rPr>
      <t xml:space="preserve">j </t>
    </r>
    <r>
      <rPr>
        <sz val="12"/>
        <color theme="1"/>
        <rFont val="Arial"/>
        <family val="2"/>
      </rPr>
      <t>(R</t>
    </r>
    <r>
      <rPr>
        <vertAlign val="subscript"/>
        <sz val="12"/>
        <color theme="1"/>
        <rFont val="Arial"/>
        <family val="2"/>
      </rPr>
      <t>j</t>
    </r>
    <r>
      <rPr>
        <sz val="12"/>
        <color theme="1"/>
        <rFont val="Arial"/>
        <family val="2"/>
      </rPr>
      <t>∙C</t>
    </r>
    <r>
      <rPr>
        <vertAlign val="subscript"/>
        <sz val="12"/>
        <color theme="1"/>
        <rFont val="Arial"/>
        <family val="2"/>
      </rPr>
      <t>j</t>
    </r>
    <r>
      <rPr>
        <sz val="12"/>
        <color theme="1"/>
        <rFont val="Arial"/>
        <family val="2"/>
      </rPr>
      <t xml:space="preserve"> ))+∑</t>
    </r>
    <r>
      <rPr>
        <vertAlign val="subscript"/>
        <sz val="12"/>
        <color theme="1"/>
        <rFont val="Arial"/>
        <family val="2"/>
      </rPr>
      <t>i</t>
    </r>
    <r>
      <rPr>
        <sz val="12"/>
        <color theme="1"/>
        <rFont val="Arial"/>
        <family val="2"/>
      </rPr>
      <t xml:space="preserve"> T</t>
    </r>
    <r>
      <rPr>
        <vertAlign val="subscript"/>
        <sz val="12"/>
        <color theme="1"/>
        <rFont val="Arial"/>
        <family val="2"/>
      </rPr>
      <t>i</t>
    </r>
    <r>
      <rPr>
        <sz val="12"/>
        <color theme="1"/>
        <rFont val="Arial"/>
        <family val="2"/>
      </rPr>
      <t xml:space="preserve"> </t>
    </r>
  </si>
  <si>
    <t>Dove:</t>
  </si>
  <si>
    <t>T</t>
  </si>
  <si>
    <r>
      <t>€/m</t>
    </r>
    <r>
      <rPr>
        <vertAlign val="superscript"/>
        <sz val="10"/>
        <color theme="1"/>
        <rFont val="Arial"/>
        <family val="2"/>
      </rPr>
      <t>3</t>
    </r>
  </si>
  <si>
    <t>Tariffa senza deroghe</t>
  </si>
  <si>
    <t>T*</t>
  </si>
  <si>
    <t>Tariffa con deroghe</t>
  </si>
  <si>
    <t xml:space="preserve">k </t>
  </si>
  <si>
    <t>Coefficiente riduttivo</t>
  </si>
  <si>
    <t>Sc</t>
  </si>
  <si>
    <t>Coefficiente volumetrico</t>
  </si>
  <si>
    <t>Volume scaricato [m³/anno]</t>
  </si>
  <si>
    <t>0 - 5000</t>
  </si>
  <si>
    <t>5.000 – 50.000</t>
  </si>
  <si>
    <t>50.000 – 500.000</t>
  </si>
  <si>
    <t>&gt; 500.000</t>
  </si>
  <si>
    <r>
      <t>R</t>
    </r>
    <r>
      <rPr>
        <vertAlign val="subscript"/>
        <sz val="10"/>
        <rFont val="Arial"/>
        <family val="2"/>
      </rPr>
      <t>j</t>
    </r>
    <r>
      <rPr>
        <sz val="10"/>
        <rFont val="Arial"/>
        <family val="2"/>
      </rPr>
      <t/>
    </r>
  </si>
  <si>
    <t>Rapporto fra concentrazione in deroga e limite prevista per il parametro j-esimo</t>
  </si>
  <si>
    <r>
      <t>R</t>
    </r>
    <r>
      <rPr>
        <vertAlign val="subscript"/>
        <sz val="10"/>
        <color theme="1"/>
        <rFont val="Arial"/>
        <family val="2"/>
      </rPr>
      <t>j</t>
    </r>
    <r>
      <rPr>
        <sz val="10"/>
        <color theme="1"/>
        <rFont val="Arial"/>
        <family val="2"/>
      </rPr>
      <t xml:space="preserve"> = (Conc</t>
    </r>
    <r>
      <rPr>
        <vertAlign val="subscript"/>
        <sz val="10"/>
        <color theme="1"/>
        <rFont val="Arial"/>
        <family val="2"/>
      </rPr>
      <t>j</t>
    </r>
    <r>
      <rPr>
        <vertAlign val="superscript"/>
        <sz val="10"/>
        <color theme="1"/>
        <rFont val="Arial"/>
        <family val="2"/>
      </rPr>
      <t>deroga</t>
    </r>
    <r>
      <rPr>
        <sz val="10"/>
        <color theme="1"/>
        <rFont val="Arial"/>
        <family val="2"/>
      </rPr>
      <t>)/(Conc</t>
    </r>
    <r>
      <rPr>
        <vertAlign val="subscript"/>
        <sz val="10"/>
        <color theme="1"/>
        <rFont val="Arial"/>
        <family val="2"/>
      </rPr>
      <t>j</t>
    </r>
    <r>
      <rPr>
        <vertAlign val="superscript"/>
        <sz val="10"/>
        <color theme="1"/>
        <rFont val="Arial"/>
        <family val="2"/>
      </rPr>
      <t>limite</t>
    </r>
    <r>
      <rPr>
        <sz val="10"/>
        <color theme="1"/>
        <rFont val="Arial"/>
        <family val="2"/>
      </rPr>
      <t xml:space="preserve"> )</t>
    </r>
  </si>
  <si>
    <t>con:</t>
  </si>
  <si>
    <r>
      <t>Conc</t>
    </r>
    <r>
      <rPr>
        <vertAlign val="subscript"/>
        <sz val="10"/>
        <color theme="1"/>
        <rFont val="Arial"/>
        <family val="2"/>
      </rPr>
      <t>j</t>
    </r>
    <r>
      <rPr>
        <vertAlign val="superscript"/>
        <sz val="10"/>
        <color theme="1"/>
        <rFont val="Arial"/>
        <family val="2"/>
      </rPr>
      <t>deroga</t>
    </r>
    <r>
      <rPr>
        <sz val="10"/>
        <color theme="1"/>
        <rFont val="Arial"/>
        <family val="2"/>
      </rPr>
      <t/>
    </r>
  </si>
  <si>
    <t>concentrazione in deroga</t>
  </si>
  <si>
    <r>
      <t>Conc</t>
    </r>
    <r>
      <rPr>
        <vertAlign val="subscript"/>
        <sz val="10"/>
        <color theme="1"/>
        <rFont val="Arial"/>
        <family val="2"/>
      </rPr>
      <t>j</t>
    </r>
    <r>
      <rPr>
        <vertAlign val="superscript"/>
        <sz val="10"/>
        <color theme="1"/>
        <rFont val="Arial"/>
        <family val="2"/>
      </rPr>
      <t>limite</t>
    </r>
  </si>
  <si>
    <t>concentrazione limite prevista</t>
  </si>
  <si>
    <r>
      <t>C</t>
    </r>
    <r>
      <rPr>
        <vertAlign val="subscript"/>
        <sz val="10"/>
        <rFont val="Arial"/>
        <family val="2"/>
      </rPr>
      <t>j</t>
    </r>
  </si>
  <si>
    <t>Coefficiente di pericolosità per il parametro j-esimo come da tabella seguente</t>
  </si>
  <si>
    <t>Parametro</t>
  </si>
  <si>
    <r>
      <t>C</t>
    </r>
    <r>
      <rPr>
        <vertAlign val="subscript"/>
        <sz val="10"/>
        <color rgb="FF000000"/>
        <rFont val="Arial"/>
        <family val="2"/>
      </rPr>
      <t>j</t>
    </r>
  </si>
  <si>
    <r>
      <t>COD</t>
    </r>
    <r>
      <rPr>
        <vertAlign val="subscript"/>
        <sz val="10"/>
        <color rgb="FF000000"/>
        <rFont val="Arial"/>
        <family val="2"/>
      </rPr>
      <t xml:space="preserve">medio </t>
    </r>
    <r>
      <rPr>
        <sz val="10"/>
        <color rgb="FF000000"/>
        <rFont val="Arial"/>
        <family val="2"/>
      </rPr>
      <t>/ (BOD</t>
    </r>
    <r>
      <rPr>
        <vertAlign val="subscript"/>
        <sz val="10"/>
        <color rgb="FF000000"/>
        <rFont val="Arial"/>
        <family val="2"/>
      </rPr>
      <t>5medio</t>
    </r>
    <r>
      <rPr>
        <sz val="10"/>
        <color rgb="FF000000"/>
        <rFont val="Arial"/>
        <family val="2"/>
      </rPr>
      <t>∙100)</t>
    </r>
  </si>
  <si>
    <t>Tens.Totali</t>
  </si>
  <si>
    <t>Fe</t>
  </si>
  <si>
    <t>Al</t>
  </si>
  <si>
    <r>
      <t>Cl</t>
    </r>
    <r>
      <rPr>
        <vertAlign val="subscript"/>
        <sz val="10"/>
        <color rgb="FF000000"/>
        <rFont val="Arial"/>
        <family val="2"/>
      </rPr>
      <t>2</t>
    </r>
    <r>
      <rPr>
        <sz val="10"/>
        <color rgb="FF000000"/>
        <rFont val="Arial"/>
        <family val="2"/>
      </rPr>
      <t xml:space="preserve"> att</t>
    </r>
  </si>
  <si>
    <r>
      <t>N-NO</t>
    </r>
    <r>
      <rPr>
        <vertAlign val="subscript"/>
        <sz val="10"/>
        <color rgb="FF000000"/>
        <rFont val="Arial"/>
        <family val="2"/>
      </rPr>
      <t>2</t>
    </r>
    <r>
      <rPr>
        <vertAlign val="superscript"/>
        <sz val="10"/>
        <color rgb="FF000000"/>
        <rFont val="Arial"/>
        <family val="2"/>
      </rPr>
      <t>-</t>
    </r>
  </si>
  <si>
    <r>
      <t>Cl</t>
    </r>
    <r>
      <rPr>
        <vertAlign val="superscript"/>
        <sz val="10"/>
        <color rgb="FF000000"/>
        <rFont val="Arial"/>
        <family val="2"/>
      </rPr>
      <t>-</t>
    </r>
  </si>
  <si>
    <t>Grassi&amp;Oli</t>
  </si>
  <si>
    <t>Mn</t>
  </si>
  <si>
    <r>
      <t>SO</t>
    </r>
    <r>
      <rPr>
        <vertAlign val="subscript"/>
        <sz val="10"/>
        <color rgb="FF000000"/>
        <rFont val="Arial"/>
        <family val="2"/>
      </rPr>
      <t>4</t>
    </r>
    <r>
      <rPr>
        <vertAlign val="superscript"/>
        <sz val="10"/>
        <color rgb="FF000000"/>
        <rFont val="Arial"/>
        <family val="2"/>
      </rPr>
      <t>=</t>
    </r>
  </si>
  <si>
    <r>
      <t>SO</t>
    </r>
    <r>
      <rPr>
        <vertAlign val="subscript"/>
        <sz val="10"/>
        <color rgb="FF000000"/>
        <rFont val="Arial"/>
        <family val="2"/>
      </rPr>
      <t>3</t>
    </r>
    <r>
      <rPr>
        <vertAlign val="superscript"/>
        <sz val="10"/>
        <color rgb="FF000000"/>
        <rFont val="Arial"/>
        <family val="2"/>
      </rPr>
      <t>=</t>
    </r>
  </si>
  <si>
    <r>
      <t>S</t>
    </r>
    <r>
      <rPr>
        <vertAlign val="superscript"/>
        <sz val="10"/>
        <color rgb="FF000000"/>
        <rFont val="Arial"/>
        <family val="2"/>
      </rPr>
      <t>=</t>
    </r>
    <r>
      <rPr>
        <sz val="10"/>
        <color rgb="FF000000"/>
        <rFont val="Arial"/>
        <family val="2"/>
      </rPr>
      <t xml:space="preserve"> (H</t>
    </r>
    <r>
      <rPr>
        <vertAlign val="subscript"/>
        <sz val="10"/>
        <color rgb="FF000000"/>
        <rFont val="Arial"/>
        <family val="2"/>
      </rPr>
      <t>2</t>
    </r>
    <r>
      <rPr>
        <sz val="10"/>
        <color rgb="FF000000"/>
        <rFont val="Arial"/>
        <family val="2"/>
      </rPr>
      <t>S)</t>
    </r>
  </si>
  <si>
    <r>
      <t>F</t>
    </r>
    <r>
      <rPr>
        <vertAlign val="superscript"/>
        <sz val="10"/>
        <color rgb="FF000000"/>
        <rFont val="Arial"/>
        <family val="2"/>
      </rPr>
      <t>-</t>
    </r>
  </si>
  <si>
    <r>
      <t>T</t>
    </r>
    <r>
      <rPr>
        <vertAlign val="subscript"/>
        <sz val="10"/>
        <color theme="1"/>
        <rFont val="Arial"/>
        <family val="2"/>
      </rPr>
      <t>i</t>
    </r>
  </si>
  <si>
    <t>Tariffa per deroghe sui parametri di tipo "i" - Azoto e Fosforo</t>
  </si>
  <si>
    <r>
      <t>Qualora la concentrazione media annua del parametro i-esimo risultasse superiore al R</t>
    </r>
    <r>
      <rPr>
        <vertAlign val="subscript"/>
        <sz val="10"/>
        <color theme="1"/>
        <rFont val="Arial"/>
        <family val="2"/>
      </rPr>
      <t>ider</t>
    </r>
    <r>
      <rPr>
        <sz val="10"/>
        <color theme="1"/>
        <rFont val="Arial"/>
        <family val="2"/>
      </rPr>
      <t xml:space="preserve"> per la deroga richiesta, si utilizza tale valore per il calcolo del costo unitario Ti, anzichè il valore di Rider per la deroga richiesta. Nel caso il valore di Rider per la deroga richiesta si inferiore alla concnetrazione limite prevista si utilizza quest'ultima.</t>
    </r>
  </si>
  <si>
    <r>
      <t>T</t>
    </r>
    <r>
      <rPr>
        <vertAlign val="subscript"/>
        <sz val="10"/>
        <color theme="1"/>
        <rFont val="Arial"/>
        <family val="2"/>
      </rPr>
      <t>i</t>
    </r>
    <r>
      <rPr>
        <sz val="10"/>
        <color theme="1"/>
        <rFont val="Arial"/>
        <family val="2"/>
      </rPr>
      <t xml:space="preserve"> = [(max(R</t>
    </r>
    <r>
      <rPr>
        <vertAlign val="subscript"/>
        <sz val="10"/>
        <color theme="1"/>
        <rFont val="Arial"/>
        <family val="2"/>
      </rPr>
      <t>ider</t>
    </r>
    <r>
      <rPr>
        <sz val="10"/>
        <color theme="1"/>
        <rFont val="Arial"/>
        <family val="2"/>
      </rPr>
      <t>∙Conc</t>
    </r>
    <r>
      <rPr>
        <vertAlign val="subscript"/>
        <sz val="10"/>
        <color theme="1"/>
        <rFont val="Arial"/>
        <family val="2"/>
      </rPr>
      <t>i</t>
    </r>
    <r>
      <rPr>
        <vertAlign val="superscript"/>
        <sz val="10"/>
        <color theme="1"/>
        <rFont val="Arial"/>
        <family val="2"/>
      </rPr>
      <t xml:space="preserve">deroga </t>
    </r>
    <r>
      <rPr>
        <sz val="10"/>
        <color theme="1"/>
        <rFont val="Arial"/>
        <family val="2"/>
      </rPr>
      <t>; Conc</t>
    </r>
    <r>
      <rPr>
        <vertAlign val="subscript"/>
        <sz val="10"/>
        <color theme="1"/>
        <rFont val="Arial"/>
        <family val="2"/>
      </rPr>
      <t>i</t>
    </r>
    <r>
      <rPr>
        <vertAlign val="superscript"/>
        <sz val="10"/>
        <color theme="1"/>
        <rFont val="Arial"/>
        <family val="2"/>
      </rPr>
      <t>limite</t>
    </r>
    <r>
      <rPr>
        <sz val="10"/>
        <color theme="1"/>
        <rFont val="Arial"/>
        <family val="2"/>
      </rPr>
      <t>; Conc</t>
    </r>
    <r>
      <rPr>
        <vertAlign val="subscript"/>
        <sz val="10"/>
        <color theme="1"/>
        <rFont val="Arial"/>
        <family val="2"/>
      </rPr>
      <t>imedia</t>
    </r>
    <r>
      <rPr>
        <sz val="10"/>
        <color theme="1"/>
        <rFont val="Arial"/>
        <family val="2"/>
      </rPr>
      <t>) - Conc</t>
    </r>
    <r>
      <rPr>
        <vertAlign val="subscript"/>
        <sz val="10"/>
        <color theme="1"/>
        <rFont val="Arial"/>
        <family val="2"/>
      </rPr>
      <t>i</t>
    </r>
    <r>
      <rPr>
        <vertAlign val="superscript"/>
        <sz val="10"/>
        <color theme="1"/>
        <rFont val="Arial"/>
        <family val="2"/>
      </rPr>
      <t>limite</t>
    </r>
    <r>
      <rPr>
        <sz val="10"/>
        <color theme="1"/>
        <rFont val="Arial"/>
        <family val="2"/>
      </rPr>
      <t>)/1000]∙C</t>
    </r>
    <r>
      <rPr>
        <vertAlign val="subscript"/>
        <sz val="10"/>
        <color theme="1"/>
        <rFont val="Arial"/>
        <family val="2"/>
      </rPr>
      <t>d,i</t>
    </r>
  </si>
  <si>
    <r>
      <t>R</t>
    </r>
    <r>
      <rPr>
        <vertAlign val="subscript"/>
        <sz val="10"/>
        <color theme="1"/>
        <rFont val="Arial"/>
        <family val="2"/>
      </rPr>
      <t>ider</t>
    </r>
  </si>
  <si>
    <t>coefficiente riconoscimento limite deroga</t>
  </si>
  <si>
    <r>
      <t>Conc</t>
    </r>
    <r>
      <rPr>
        <vertAlign val="subscript"/>
        <sz val="10"/>
        <color theme="1"/>
        <rFont val="Arial"/>
        <family val="2"/>
      </rPr>
      <t>imedia</t>
    </r>
  </si>
  <si>
    <t>concentrazione media del parametro i</t>
  </si>
  <si>
    <r>
      <t>C</t>
    </r>
    <r>
      <rPr>
        <vertAlign val="subscript"/>
        <sz val="10"/>
        <color theme="1"/>
        <rFont val="Arial"/>
        <family val="2"/>
      </rPr>
      <t>d,i</t>
    </r>
  </si>
  <si>
    <t>coefficiente di costo</t>
  </si>
  <si>
    <t>per i parametri azotati (N)</t>
  </si>
  <si>
    <t>per il fosforo (P)</t>
  </si>
  <si>
    <t>Le deroghe per il BOD5 non vengono considerate nel calcolo della tariffa, in quanto tale parametro è ricompreso sia nel calcolo della T che nel coefficiente di pericolosità relativo al COD. Alle deroghe per il COD sarà sempre associata anche una deroga per il BOD5 pari all’80% del COD.</t>
  </si>
  <si>
    <t>Modalità di calcolo e riscossione</t>
  </si>
  <si>
    <t>Il corrispettivo relativo alle deroghe sarà determinato a conclusione dell'anno tariffario utilizzando il volume e le concentrazioni riferite all'anno, e fatturato separatamente rispetto al corrispettivo determinato senza deroghe.</t>
  </si>
  <si>
    <t>CALCOLO CORRISPETTIVO PER DEROGHE - LARIANA DEPUR SpA</t>
  </si>
  <si>
    <t>ID Utente</t>
  </si>
  <si>
    <t>Limiti Consortili</t>
  </si>
  <si>
    <t>Deroga</t>
  </si>
  <si>
    <r>
      <t>Rilevato</t>
    </r>
    <r>
      <rPr>
        <b/>
        <sz val="8"/>
        <rFont val="Arial"/>
        <family val="2"/>
      </rPr>
      <t xml:space="preserve"> (media anno)</t>
    </r>
  </si>
  <si>
    <r>
      <t>C</t>
    </r>
    <r>
      <rPr>
        <b/>
        <vertAlign val="subscript"/>
        <sz val="10"/>
        <color theme="1"/>
        <rFont val="Arial"/>
        <family val="2"/>
      </rPr>
      <t>d</t>
    </r>
  </si>
  <si>
    <r>
      <t>C</t>
    </r>
    <r>
      <rPr>
        <b/>
        <vertAlign val="subscript"/>
        <sz val="10"/>
        <color theme="1"/>
        <rFont val="Arial"/>
        <family val="2"/>
      </rPr>
      <t>j</t>
    </r>
  </si>
  <si>
    <r>
      <t>R</t>
    </r>
    <r>
      <rPr>
        <b/>
        <vertAlign val="subscript"/>
        <sz val="10"/>
        <color theme="1"/>
        <rFont val="Arial"/>
        <family val="2"/>
      </rPr>
      <t>j</t>
    </r>
  </si>
  <si>
    <r>
      <t>C</t>
    </r>
    <r>
      <rPr>
        <b/>
        <vertAlign val="subscript"/>
        <sz val="10"/>
        <color theme="1"/>
        <rFont val="Arial"/>
        <family val="2"/>
      </rPr>
      <t>j</t>
    </r>
    <r>
      <rPr>
        <b/>
        <sz val="10"/>
        <color theme="1"/>
        <rFont val="Arial"/>
        <family val="2"/>
      </rPr>
      <t xml:space="preserve"> x R</t>
    </r>
    <r>
      <rPr>
        <b/>
        <vertAlign val="subscript"/>
        <sz val="10"/>
        <color theme="1"/>
        <rFont val="Arial"/>
        <family val="2"/>
      </rPr>
      <t>j</t>
    </r>
  </si>
  <si>
    <r>
      <t>T</t>
    </r>
    <r>
      <rPr>
        <b/>
        <vertAlign val="subscript"/>
        <sz val="10"/>
        <color theme="1"/>
        <rFont val="Arial"/>
        <family val="2"/>
      </rPr>
      <t>i</t>
    </r>
  </si>
  <si>
    <r>
      <t>Conc</t>
    </r>
    <r>
      <rPr>
        <b/>
        <vertAlign val="subscript"/>
        <sz val="10"/>
        <color theme="1"/>
        <rFont val="Arial"/>
        <family val="2"/>
      </rPr>
      <t>j</t>
    </r>
    <r>
      <rPr>
        <b/>
        <vertAlign val="superscript"/>
        <sz val="10"/>
        <color theme="1"/>
        <rFont val="Arial"/>
        <family val="2"/>
      </rPr>
      <t>limite</t>
    </r>
  </si>
  <si>
    <r>
      <t>Conc</t>
    </r>
    <r>
      <rPr>
        <b/>
        <vertAlign val="subscript"/>
        <sz val="10"/>
        <color theme="1"/>
        <rFont val="Arial"/>
        <family val="2"/>
      </rPr>
      <t>j</t>
    </r>
    <r>
      <rPr>
        <b/>
        <vertAlign val="superscript"/>
        <sz val="10"/>
        <color theme="1"/>
        <rFont val="Arial"/>
        <family val="2"/>
      </rPr>
      <t>deroga</t>
    </r>
    <r>
      <rPr>
        <sz val="10"/>
        <color theme="1"/>
        <rFont val="Arial"/>
        <family val="2"/>
      </rPr>
      <t/>
    </r>
  </si>
  <si>
    <r>
      <t>Conc</t>
    </r>
    <r>
      <rPr>
        <b/>
        <vertAlign val="subscript"/>
        <sz val="10"/>
        <color theme="1"/>
        <rFont val="Arial"/>
        <family val="2"/>
      </rPr>
      <t>imedia</t>
    </r>
  </si>
  <si>
    <r>
      <t>€/m</t>
    </r>
    <r>
      <rPr>
        <b/>
        <vertAlign val="superscript"/>
        <sz val="10"/>
        <color theme="1"/>
        <rFont val="Arial"/>
        <family val="2"/>
      </rPr>
      <t>3</t>
    </r>
  </si>
  <si>
    <t>BOD5</t>
  </si>
  <si>
    <t>N-NH4+</t>
  </si>
  <si>
    <t>N-NO3-</t>
  </si>
  <si>
    <t>N-NO2-</t>
  </si>
  <si>
    <t>N</t>
  </si>
  <si>
    <t>P</t>
  </si>
  <si>
    <t>TT</t>
  </si>
  <si>
    <t>Cl2 att</t>
  </si>
  <si>
    <t>Cl-</t>
  </si>
  <si>
    <t>Gras&amp;Oli</t>
  </si>
  <si>
    <t>SO4=</t>
  </si>
  <si>
    <t>SO3=</t>
  </si>
  <si>
    <t>S= (H2S)</t>
  </si>
  <si>
    <t>F-</t>
  </si>
  <si>
    <t>CN-</t>
  </si>
  <si>
    <t>Fenoli</t>
  </si>
  <si>
    <t>Aldeidi</t>
  </si>
  <si>
    <t>V</t>
  </si>
  <si>
    <t>m³/a</t>
  </si>
  <si>
    <t>Volume scarico annuo</t>
  </si>
  <si>
    <t>Valore coefficiente volumetrico Sc</t>
  </si>
  <si>
    <t>Cannuo</t>
  </si>
  <si>
    <t>Corrispettivo annuo senza deroghe</t>
  </si>
  <si>
    <t>V &gt;</t>
  </si>
  <si>
    <t>V &lt;</t>
  </si>
  <si>
    <r>
      <rPr>
        <sz val="10"/>
        <rFont val="Symbol"/>
        <family val="1"/>
        <charset val="2"/>
      </rPr>
      <t>S</t>
    </r>
    <r>
      <rPr>
        <sz val="10"/>
        <rFont val="Arial"/>
        <family val="2"/>
      </rPr>
      <t>R</t>
    </r>
    <r>
      <rPr>
        <vertAlign val="subscript"/>
        <sz val="10"/>
        <rFont val="Arial"/>
        <family val="2"/>
      </rPr>
      <t>j</t>
    </r>
    <r>
      <rPr>
        <sz val="10"/>
        <rFont val="Arial"/>
        <family val="2"/>
      </rPr>
      <t>xC</t>
    </r>
    <r>
      <rPr>
        <vertAlign val="subscript"/>
        <sz val="10"/>
        <rFont val="Arial"/>
        <family val="2"/>
      </rPr>
      <t>j</t>
    </r>
  </si>
  <si>
    <t>Somma prodotti rapporto concentrazione deroga e limite con coefficiente pericolosità</t>
  </si>
  <si>
    <r>
      <t>R</t>
    </r>
    <r>
      <rPr>
        <vertAlign val="subscript"/>
        <sz val="10"/>
        <rFont val="Arial"/>
        <family val="2"/>
      </rPr>
      <t>ider</t>
    </r>
  </si>
  <si>
    <t>Coefficiente riconoscimento limite deroga</t>
  </si>
  <si>
    <t>infinito</t>
  </si>
  <si>
    <r>
      <t>T</t>
    </r>
    <r>
      <rPr>
        <vertAlign val="subscript"/>
        <sz val="10"/>
        <color theme="1"/>
        <rFont val="Arial"/>
        <family val="2"/>
      </rPr>
      <t>i</t>
    </r>
    <r>
      <rPr>
        <sz val="10"/>
        <color theme="1"/>
        <rFont val="Arial"/>
        <family val="2"/>
      </rPr>
      <t xml:space="preserve"> </t>
    </r>
  </si>
  <si>
    <t>Incremento tariffario per deroga sui parametri "i"</t>
  </si>
  <si>
    <t>Cannuo*</t>
  </si>
  <si>
    <t>Corrispettivo annuo con deroghe</t>
  </si>
  <si>
    <r>
      <rPr>
        <b/>
        <sz val="10"/>
        <color theme="1"/>
        <rFont val="Symbol"/>
        <family val="1"/>
        <charset val="2"/>
      </rPr>
      <t>D</t>
    </r>
    <r>
      <rPr>
        <b/>
        <sz val="10"/>
        <color theme="1"/>
        <rFont val="Arial"/>
        <family val="2"/>
      </rPr>
      <t>€</t>
    </r>
  </si>
  <si>
    <t>Corrispettivo per deroghe - Differenza corrispettivo con e senza deroghe</t>
  </si>
  <si>
    <r>
      <rPr>
        <sz val="10"/>
        <color theme="1"/>
        <rFont val="Symbol"/>
        <family val="1"/>
        <charset val="2"/>
      </rPr>
      <t>D</t>
    </r>
    <r>
      <rPr>
        <sz val="10"/>
        <color theme="1"/>
        <rFont val="Arial"/>
        <family val="2"/>
      </rPr>
      <t>%</t>
    </r>
  </si>
  <si>
    <t>Incremento con deroghe</t>
  </si>
  <si>
    <t>------------</t>
  </si>
  <si>
    <t>Vincolo sui ricavi</t>
  </si>
  <si>
    <r>
      <t xml:space="preserve">            €/m</t>
    </r>
    <r>
      <rPr>
        <vertAlign val="superscript"/>
        <sz val="10"/>
        <rFont val="Arial"/>
        <family val="2"/>
      </rPr>
      <t>3</t>
    </r>
  </si>
  <si>
    <t xml:space="preserve">          €</t>
  </si>
  <si>
    <t>Data campionamento</t>
  </si>
  <si>
    <t>dalla data alla successiva</t>
  </si>
  <si>
    <t>media anno precedente o valore di calcolo</t>
  </si>
  <si>
    <t>campi da compilare</t>
  </si>
  <si>
    <t>campi facoltativi</t>
  </si>
  <si>
    <t>anno per cui si vuole calcolare la tariffa</t>
  </si>
  <si>
    <t>n°di mesi di scarico (12 se non attività stagionale)</t>
  </si>
  <si>
    <t>n° di misuratori installati e controllati da Lariana Depur</t>
  </si>
  <si>
    <t>inserire 1 se attivo il telecontrollo di Lariana Depur</t>
  </si>
  <si>
    <t>Dati</t>
  </si>
  <si>
    <t>bacino del depuratore di riferimento (ex Consorzio)</t>
  </si>
  <si>
    <t>comune di insediamento del sito produttivo</t>
  </si>
  <si>
    <t>dati dell'autorizzazione vigente per l'anno di calcolo</t>
  </si>
  <si>
    <t>Risultati campionamenti Lariana Depur</t>
  </si>
  <si>
    <t>classe di insediamento</t>
  </si>
  <si>
    <r>
      <t>m</t>
    </r>
    <r>
      <rPr>
        <vertAlign val="superscript"/>
        <sz val="8"/>
        <rFont val="Arial"/>
        <family val="2"/>
      </rPr>
      <t>3</t>
    </r>
    <r>
      <rPr>
        <sz val="8"/>
        <rFont val="Arial"/>
        <family val="2"/>
      </rPr>
      <t>/anno</t>
    </r>
  </si>
  <si>
    <t>Classe di Insediamento</t>
  </si>
  <si>
    <t>Telecontrollo</t>
  </si>
  <si>
    <t xml:space="preserve">Alcuni dati sono individuabili nel blocco informativo in alto a sinistra delle fatture </t>
  </si>
  <si>
    <t>n° di campionatori installati e controllati da Lariana Depur</t>
  </si>
  <si>
    <t>TOTALE corrispettivo</t>
  </si>
  <si>
    <t>n°di mesi per cui si calcola la fatturazione</t>
  </si>
  <si>
    <t xml:space="preserve">                                  INSERIMENTO DATI UTENTE  INDUSTRIALE PER CALCOLO TARIFFA</t>
  </si>
  <si>
    <t>da 1 genn. al primo camp. o valore di calcolo</t>
  </si>
  <si>
    <t>Rapporto moltiplicatori tariffa previgente</t>
  </si>
  <si>
    <t>Rapporto moltiplicatori tariffa attuale</t>
  </si>
  <si>
    <r>
      <rPr>
        <sz val="8"/>
        <color indexed="8"/>
        <rFont val="Symbol"/>
        <family val="1"/>
        <charset val="2"/>
      </rPr>
      <t>J</t>
    </r>
    <r>
      <rPr>
        <vertAlign val="superscript"/>
        <sz val="8"/>
        <color indexed="8"/>
        <rFont val="Arial"/>
        <family val="2"/>
      </rPr>
      <t>a</t>
    </r>
  </si>
  <si>
    <r>
      <rPr>
        <sz val="8"/>
        <color indexed="8"/>
        <rFont val="Symbol"/>
        <family val="1"/>
        <charset val="2"/>
      </rPr>
      <t>J</t>
    </r>
    <r>
      <rPr>
        <vertAlign val="superscript"/>
        <sz val="8"/>
        <color indexed="8"/>
        <rFont val="Arial"/>
        <family val="2"/>
      </rPr>
      <t>a</t>
    </r>
    <r>
      <rPr>
        <sz val="8"/>
        <color indexed="8"/>
        <rFont val="Arial"/>
        <family val="2"/>
      </rPr>
      <t xml:space="preserve"> /</t>
    </r>
    <r>
      <rPr>
        <sz val="8"/>
        <color indexed="8"/>
        <rFont val="Symbol"/>
        <family val="1"/>
        <charset val="2"/>
      </rPr>
      <t xml:space="preserve"> J</t>
    </r>
    <r>
      <rPr>
        <vertAlign val="superscript"/>
        <sz val="8"/>
        <color indexed="8"/>
        <rFont val="Arial"/>
        <family val="2"/>
      </rPr>
      <t>a</t>
    </r>
  </si>
  <si>
    <t>SE(BN53&lt;0;0;SE(BE53&gt;($C$32*100-100);BN53;0))</t>
  </si>
  <si>
    <t>UI3</t>
  </si>
  <si>
    <t>UI4</t>
  </si>
  <si>
    <t>Componente tariffaria UI1, UI2, UI3 e UI4</t>
  </si>
  <si>
    <t>corretti</t>
  </si>
  <si>
    <r>
      <t>ϑ</t>
    </r>
    <r>
      <rPr>
        <b/>
        <vertAlign val="subscript"/>
        <sz val="8"/>
        <color rgb="FF0070C0"/>
        <rFont val="Arial"/>
        <family val="2"/>
      </rPr>
      <t>col</t>
    </r>
    <r>
      <rPr>
        <b/>
        <vertAlign val="superscript"/>
        <sz val="8"/>
        <color rgb="FF0070C0"/>
        <rFont val="Arial"/>
        <family val="2"/>
      </rPr>
      <t>a</t>
    </r>
  </si>
  <si>
    <r>
      <t>ϑfog</t>
    </r>
    <r>
      <rPr>
        <b/>
        <vertAlign val="superscript"/>
        <sz val="8"/>
        <color rgb="FF0070C0"/>
        <rFont val="Arial"/>
        <family val="2"/>
      </rPr>
      <t>a</t>
    </r>
  </si>
  <si>
    <r>
      <t>ϑ</t>
    </r>
    <r>
      <rPr>
        <b/>
        <vertAlign val="subscript"/>
        <sz val="8"/>
        <color rgb="FF0070C0"/>
        <rFont val="Arial"/>
        <family val="2"/>
      </rPr>
      <t>dep</t>
    </r>
    <r>
      <rPr>
        <b/>
        <vertAlign val="superscript"/>
        <sz val="8"/>
        <color rgb="FF0070C0"/>
        <rFont val="Arial"/>
        <family val="2"/>
      </rPr>
      <t>a</t>
    </r>
  </si>
  <si>
    <r>
      <rPr>
        <sz val="8"/>
        <color indexed="8"/>
        <rFont val="Symbol"/>
        <family val="1"/>
        <charset val="2"/>
      </rPr>
      <t>J</t>
    </r>
    <r>
      <rPr>
        <vertAlign val="superscript"/>
        <sz val="8"/>
        <color indexed="8"/>
        <rFont val="Arial"/>
        <family val="2"/>
      </rPr>
      <t>a</t>
    </r>
    <r>
      <rPr>
        <sz val="8"/>
        <color indexed="8"/>
        <rFont val="Arial"/>
        <family val="2"/>
      </rPr>
      <t xml:space="preserve"> /</t>
    </r>
    <r>
      <rPr>
        <sz val="8"/>
        <color indexed="8"/>
        <rFont val="Symbol"/>
        <family val="1"/>
        <charset val="2"/>
      </rPr>
      <t xml:space="preserve"> J</t>
    </r>
    <r>
      <rPr>
        <vertAlign val="superscript"/>
        <sz val="8"/>
        <color indexed="8"/>
        <rFont val="Arial"/>
        <family val="2"/>
      </rPr>
      <t>2020</t>
    </r>
  </si>
  <si>
    <t>SUPERATE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</si>
</sst>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0.000"/>
    <numFmt numFmtId="166" formatCode="#,###.00"/>
    <numFmt numFmtId="167" formatCode="0.000"/>
    <numFmt numFmtId="168" formatCode="0.0000"/>
    <numFmt numFmtId="169" formatCode="#,##0.0000"/>
    <numFmt numFmtId="170" formatCode="0.0"/>
    <numFmt numFmtId="171" formatCode="0.000000"/>
    <numFmt numFmtId="172" formatCode="0.00000"/>
    <numFmt numFmtId="173" formatCode="#,##0.000000"/>
    <numFmt numFmtId="174" formatCode="0.E+00"/>
    <numFmt numFmtId="175" formatCode="[$-410]d\-mmm;@"/>
    <numFmt numFmtId="176" formatCode="_-* #,##0.0000_-;\-* #,##0.0000_-;_-* &quot;-&quot;??_-;_-@_-"/>
    <numFmt numFmtId="177" formatCode="dd/mm/yy;@"/>
    <numFmt numFmtId="178" formatCode="_-* #,##0_-;\-* #,##0_-;_-* &quot;-&quot;??_-;_-@_-"/>
    <numFmt numFmtId="179" formatCode="#,##0.00_ ;\-#,##0.00\ "/>
  </numFmts>
  <fonts count="118">
    <font>
      <sz val="10"/>
      <name val="MS Sans Serif"/>
    </font>
    <font>
      <b/>
      <i/>
      <sz val="10"/>
      <name val="MS Sans Serif"/>
    </font>
    <font>
      <sz val="10"/>
      <name val="MS Sans Serif"/>
      <family val="2"/>
    </font>
    <font>
      <sz val="8"/>
      <color indexed="12"/>
      <name val="Arial"/>
      <family val="2"/>
    </font>
    <font>
      <b/>
      <sz val="8"/>
      <color indexed="12"/>
      <name val="Arial"/>
      <family val="2"/>
    </font>
    <font>
      <sz val="8"/>
      <name val="Arial"/>
      <family val="2"/>
    </font>
    <font>
      <b/>
      <sz val="8"/>
      <color indexed="8"/>
      <name val="Arial"/>
      <family val="2"/>
    </font>
    <font>
      <b/>
      <i/>
      <sz val="8"/>
      <color indexed="8"/>
      <name val="Arial"/>
      <family val="2"/>
    </font>
    <font>
      <b/>
      <i/>
      <sz val="8"/>
      <color indexed="16"/>
      <name val="Arial"/>
      <family val="2"/>
    </font>
    <font>
      <b/>
      <i/>
      <sz val="8"/>
      <name val="Arial"/>
      <family val="2"/>
    </font>
    <font>
      <b/>
      <i/>
      <sz val="8"/>
      <color indexed="10"/>
      <name val="Arial"/>
      <family val="2"/>
    </font>
    <font>
      <b/>
      <i/>
      <sz val="8"/>
      <color indexed="12"/>
      <name val="Arial"/>
      <family val="2"/>
    </font>
    <font>
      <sz val="8"/>
      <color indexed="10"/>
      <name val="Arial"/>
      <family val="2"/>
    </font>
    <font>
      <sz val="8"/>
      <color indexed="16"/>
      <name val="Arial"/>
      <family val="2"/>
    </font>
    <font>
      <b/>
      <sz val="8"/>
      <name val="Arial"/>
      <family val="2"/>
    </font>
    <font>
      <sz val="8"/>
      <color indexed="8"/>
      <name val="Arial"/>
      <family val="2"/>
    </font>
    <font>
      <i/>
      <sz val="8"/>
      <name val="Arial"/>
      <family val="2"/>
    </font>
    <font>
      <sz val="10"/>
      <name val="Arial"/>
      <family val="2"/>
    </font>
    <font>
      <b/>
      <sz val="8"/>
      <color indexed="10"/>
      <name val="Arial"/>
      <family val="2"/>
    </font>
    <font>
      <b/>
      <sz val="8"/>
      <name val="Arial"/>
      <family val="2"/>
    </font>
    <font>
      <b/>
      <i/>
      <sz val="8"/>
      <color indexed="17"/>
      <name val="Arial"/>
      <family val="2"/>
    </font>
    <font>
      <sz val="8"/>
      <name val="Arial"/>
      <family val="2"/>
    </font>
    <font>
      <b/>
      <i/>
      <sz val="10"/>
      <name val="Arial"/>
      <family val="2"/>
    </font>
    <font>
      <b/>
      <i/>
      <sz val="8"/>
      <name val="Arial"/>
      <family val="2"/>
    </font>
    <font>
      <i/>
      <sz val="8"/>
      <name val="Arial"/>
      <family val="2"/>
    </font>
    <font>
      <b/>
      <i/>
      <sz val="8"/>
      <color indexed="16"/>
      <name val="Arial"/>
      <family val="2"/>
    </font>
    <font>
      <b/>
      <sz val="8"/>
      <color indexed="8"/>
      <name val="Arial"/>
      <family val="2"/>
    </font>
    <font>
      <sz val="10"/>
      <color indexed="8"/>
      <name val="MS Sans Serif"/>
      <family val="2"/>
    </font>
    <font>
      <b/>
      <i/>
      <sz val="9"/>
      <color indexed="17"/>
      <name val="Times New Roman"/>
      <family val="1"/>
    </font>
    <font>
      <sz val="8"/>
      <color indexed="53"/>
      <name val="Arial"/>
      <family val="2"/>
    </font>
    <font>
      <b/>
      <i/>
      <sz val="8"/>
      <color indexed="12"/>
      <name val="Arial"/>
      <family val="2"/>
    </font>
    <font>
      <b/>
      <i/>
      <sz val="8"/>
      <color indexed="60"/>
      <name val="Arial"/>
      <family val="2"/>
    </font>
    <font>
      <sz val="9"/>
      <name val="Comic Sans MS"/>
      <family val="4"/>
    </font>
    <font>
      <b/>
      <sz val="9"/>
      <name val="Comic Sans MS"/>
      <family val="4"/>
    </font>
    <font>
      <sz val="9"/>
      <color indexed="10"/>
      <name val="Comic Sans MS"/>
      <family val="4"/>
    </font>
    <font>
      <b/>
      <sz val="9"/>
      <color indexed="10"/>
      <name val="Comic Sans MS"/>
      <family val="4"/>
    </font>
    <font>
      <sz val="9"/>
      <color indexed="12"/>
      <name val="Comic Sans MS"/>
      <family val="4"/>
    </font>
    <font>
      <b/>
      <sz val="9"/>
      <color indexed="48"/>
      <name val="Comic Sans MS"/>
      <family val="4"/>
    </font>
    <font>
      <sz val="9"/>
      <color indexed="48"/>
      <name val="Comic Sans MS"/>
      <family val="4"/>
    </font>
    <font>
      <sz val="8"/>
      <color indexed="16"/>
      <name val="Arial"/>
      <family val="2"/>
    </font>
    <font>
      <b/>
      <i/>
      <u val="doubleAccounting"/>
      <sz val="8"/>
      <color indexed="16"/>
      <name val="Arial"/>
      <family val="2"/>
    </font>
    <font>
      <b/>
      <i/>
      <sz val="14"/>
      <color indexed="18"/>
      <name val="Times New Roman"/>
      <family val="1"/>
    </font>
    <font>
      <b/>
      <i/>
      <sz val="14"/>
      <name val="Arial"/>
      <family val="2"/>
    </font>
    <font>
      <sz val="12"/>
      <name val="Arial"/>
      <family val="2"/>
    </font>
    <font>
      <sz val="12"/>
      <color indexed="12"/>
      <name val="Arial"/>
      <family val="2"/>
    </font>
    <font>
      <b/>
      <i/>
      <sz val="10"/>
      <color indexed="18"/>
      <name val="Times New Roman"/>
      <family val="1"/>
    </font>
    <font>
      <b/>
      <i/>
      <sz val="18"/>
      <color indexed="12"/>
      <name val="Times New Roman"/>
      <family val="1"/>
    </font>
    <font>
      <b/>
      <i/>
      <sz val="24"/>
      <color indexed="18"/>
      <name val="Times New Roman"/>
      <family val="1"/>
    </font>
    <font>
      <b/>
      <i/>
      <sz val="9"/>
      <name val="Comic Sans MS"/>
      <family val="4"/>
    </font>
    <font>
      <sz val="8"/>
      <color indexed="8"/>
      <name val="Arial"/>
      <family val="2"/>
    </font>
    <font>
      <sz val="8"/>
      <color indexed="12"/>
      <name val="Arial"/>
      <family val="2"/>
    </font>
    <font>
      <sz val="8"/>
      <color indexed="10"/>
      <name val="Arial"/>
      <family val="2"/>
    </font>
    <font>
      <b/>
      <i/>
      <sz val="10"/>
      <color indexed="10"/>
      <name val="Arial"/>
      <family val="2"/>
    </font>
    <font>
      <i/>
      <sz val="9"/>
      <color indexed="10"/>
      <name val="Arial"/>
      <family val="2"/>
    </font>
    <font>
      <b/>
      <sz val="8"/>
      <color indexed="53"/>
      <name val="Arial"/>
      <family val="2"/>
    </font>
    <font>
      <b/>
      <i/>
      <sz val="10"/>
      <color indexed="10"/>
      <name val="Arial"/>
      <family val="2"/>
    </font>
    <font>
      <b/>
      <i/>
      <sz val="24"/>
      <color indexed="62"/>
      <name val="Times New Roman"/>
      <family val="1"/>
    </font>
    <font>
      <b/>
      <sz val="14"/>
      <color indexed="10"/>
      <name val="Arial"/>
      <family val="2"/>
    </font>
    <font>
      <sz val="14"/>
      <name val="Arial"/>
      <family val="2"/>
    </font>
    <font>
      <sz val="8"/>
      <name val="MS Sans Serif"/>
      <family val="2"/>
    </font>
    <font>
      <b/>
      <i/>
      <sz val="24"/>
      <color indexed="12"/>
      <name val="Times New Roman"/>
      <family val="1"/>
    </font>
    <font>
      <b/>
      <vertAlign val="subscript"/>
      <sz val="8"/>
      <color indexed="8"/>
      <name val="Arial"/>
      <family val="2"/>
    </font>
    <font>
      <b/>
      <vertAlign val="superscript"/>
      <sz val="8"/>
      <color indexed="8"/>
      <name val="Arial"/>
      <family val="2"/>
    </font>
    <font>
      <b/>
      <sz val="10"/>
      <color indexed="8"/>
      <name val="Arial"/>
      <family val="2"/>
    </font>
    <font>
      <sz val="10"/>
      <color indexed="8"/>
      <name val="Arial"/>
      <family val="2"/>
    </font>
    <font>
      <sz val="8"/>
      <color indexed="8"/>
      <name val="Symbol"/>
      <family val="1"/>
      <charset val="2"/>
    </font>
    <font>
      <vertAlign val="superscript"/>
      <sz val="8"/>
      <color indexed="8"/>
      <name val="Arial"/>
      <family val="2"/>
    </font>
    <font>
      <sz val="10"/>
      <color indexed="8"/>
      <name val="Symbol"/>
      <family val="1"/>
      <charset val="2"/>
    </font>
    <font>
      <sz val="10"/>
      <color indexed="8"/>
      <name val="Calibri"/>
      <family val="2"/>
    </font>
    <font>
      <vertAlign val="subscript"/>
      <sz val="8"/>
      <color indexed="8"/>
      <name val="Arial"/>
      <family val="2"/>
    </font>
    <font>
      <sz val="9"/>
      <color indexed="8"/>
      <name val="Arial"/>
      <family val="2"/>
    </font>
    <font>
      <vertAlign val="subscript"/>
      <sz val="10"/>
      <color indexed="8"/>
      <name val="Arial"/>
      <family val="2"/>
    </font>
    <font>
      <vertAlign val="superscript"/>
      <sz val="10"/>
      <color indexed="8"/>
      <name val="Arial"/>
      <family val="2"/>
    </font>
    <font>
      <b/>
      <vertAlign val="subscript"/>
      <sz val="10"/>
      <color indexed="8"/>
      <name val="Arial"/>
      <family val="2"/>
    </font>
    <font>
      <b/>
      <sz val="9"/>
      <color indexed="8"/>
      <name val="Arial"/>
      <family val="2"/>
    </font>
    <font>
      <b/>
      <vertAlign val="superscript"/>
      <sz val="10"/>
      <color indexed="8"/>
      <name val="Arial"/>
      <family val="2"/>
    </font>
    <font>
      <b/>
      <sz val="10"/>
      <color indexed="8"/>
      <name val="Symbol"/>
      <family val="1"/>
      <charset val="2"/>
    </font>
    <font>
      <b/>
      <sz val="8"/>
      <color indexed="8"/>
      <name val="Symbol"/>
      <family val="1"/>
      <charset val="2"/>
    </font>
    <font>
      <b/>
      <i/>
      <u/>
      <sz val="10"/>
      <color indexed="17"/>
      <name val="Arial"/>
      <family val="2"/>
    </font>
    <font>
      <b/>
      <sz val="10"/>
      <name val="Arial"/>
      <family val="2"/>
    </font>
    <font>
      <vertAlign val="superscript"/>
      <sz val="10"/>
      <name val="Arial"/>
      <family val="2"/>
    </font>
    <font>
      <vertAlign val="subscript"/>
      <sz val="10"/>
      <name val="Arial"/>
      <family val="2"/>
    </font>
    <font>
      <sz val="10"/>
      <color theme="1"/>
      <name val="Arial"/>
      <family val="2"/>
    </font>
    <font>
      <sz val="8"/>
      <color theme="1"/>
      <name val="Arial"/>
      <family val="2"/>
    </font>
    <font>
      <b/>
      <sz val="8"/>
      <color theme="1"/>
      <name val="Arial"/>
      <family val="2"/>
    </font>
    <font>
      <b/>
      <sz val="10"/>
      <color rgb="FFFF0000"/>
      <name val="Arial"/>
      <family val="2"/>
    </font>
    <font>
      <sz val="10"/>
      <color rgb="FFFF0000"/>
      <name val="Arial"/>
      <family val="2"/>
    </font>
    <font>
      <sz val="10"/>
      <color theme="1"/>
      <name val="Symbol"/>
      <family val="1"/>
      <charset val="2"/>
    </font>
    <font>
      <sz val="8"/>
      <color theme="1"/>
      <name val="Symbol"/>
      <family val="1"/>
      <charset val="2"/>
    </font>
    <font>
      <sz val="8"/>
      <color rgb="FFFF0000"/>
      <name val="Arial"/>
      <family val="2"/>
    </font>
    <font>
      <vertAlign val="subscript"/>
      <sz val="10"/>
      <color theme="1"/>
      <name val="Arial"/>
      <family val="2"/>
    </font>
    <font>
      <sz val="10"/>
      <color theme="1"/>
      <name val="Calibri"/>
      <family val="2"/>
    </font>
    <font>
      <b/>
      <sz val="10"/>
      <color theme="1"/>
      <name val="Arial"/>
      <family val="2"/>
    </font>
    <font>
      <b/>
      <i/>
      <sz val="10"/>
      <color rgb="FFFF0000"/>
      <name val="Arial"/>
      <family val="2"/>
    </font>
    <font>
      <b/>
      <i/>
      <sz val="8"/>
      <color rgb="FF00B050"/>
      <name val="Arial"/>
      <family val="2"/>
    </font>
    <font>
      <b/>
      <i/>
      <sz val="9"/>
      <color rgb="FF00B050"/>
      <name val="Arial"/>
      <family val="2"/>
    </font>
    <font>
      <b/>
      <sz val="8"/>
      <color rgb="FFFF0000"/>
      <name val="Arial"/>
      <family val="2"/>
    </font>
    <font>
      <vertAlign val="superscript"/>
      <sz val="8"/>
      <name val="Arial"/>
      <family val="2"/>
    </font>
    <font>
      <sz val="12"/>
      <color theme="1"/>
      <name val="Arial"/>
      <family val="2"/>
    </font>
    <font>
      <vertAlign val="subscript"/>
      <sz val="12"/>
      <color theme="1"/>
      <name val="Arial"/>
      <family val="2"/>
    </font>
    <font>
      <vertAlign val="superscript"/>
      <sz val="10"/>
      <color theme="1"/>
      <name val="Arial"/>
      <family val="2"/>
    </font>
    <font>
      <sz val="10"/>
      <color rgb="FF000000"/>
      <name val="Arial"/>
      <family val="2"/>
    </font>
    <font>
      <vertAlign val="subscript"/>
      <sz val="10"/>
      <color rgb="FF000000"/>
      <name val="Arial"/>
      <family val="2"/>
    </font>
    <font>
      <vertAlign val="superscript"/>
      <sz val="10"/>
      <color rgb="FF000000"/>
      <name val="Arial"/>
      <family val="2"/>
    </font>
    <font>
      <b/>
      <vertAlign val="subscript"/>
      <sz val="10"/>
      <color theme="1"/>
      <name val="Arial"/>
      <family val="2"/>
    </font>
    <font>
      <b/>
      <vertAlign val="superscript"/>
      <sz val="10"/>
      <color theme="1"/>
      <name val="Arial"/>
      <family val="2"/>
    </font>
    <font>
      <sz val="10"/>
      <color rgb="FF0070C0"/>
      <name val="Arial"/>
      <family val="2"/>
    </font>
    <font>
      <i/>
      <sz val="8"/>
      <color theme="1"/>
      <name val="Arial"/>
      <family val="2"/>
    </font>
    <font>
      <i/>
      <sz val="8"/>
      <color rgb="FFFF0000"/>
      <name val="Arial"/>
      <family val="2"/>
    </font>
    <font>
      <sz val="10"/>
      <name val="Symbol"/>
      <family val="1"/>
      <charset val="2"/>
    </font>
    <font>
      <b/>
      <sz val="10"/>
      <color theme="1"/>
      <name val="Symbol"/>
      <family val="1"/>
      <charset val="2"/>
    </font>
    <font>
      <b/>
      <sz val="8"/>
      <color indexed="60"/>
      <name val="Arial"/>
      <family val="2"/>
    </font>
    <font>
      <sz val="8"/>
      <name val="MS Sans Serif"/>
    </font>
    <font>
      <sz val="8"/>
      <color indexed="8"/>
      <name val="Arial"/>
      <family val="1"/>
      <charset val="2"/>
    </font>
    <font>
      <b/>
      <sz val="8"/>
      <color rgb="FF0070C0"/>
      <name val="Arial"/>
      <family val="2"/>
    </font>
    <font>
      <sz val="8"/>
      <color rgb="FF0070C0"/>
      <name val="Arial"/>
      <family val="2"/>
    </font>
    <font>
      <b/>
      <vertAlign val="subscript"/>
      <sz val="8"/>
      <color rgb="FF0070C0"/>
      <name val="Arial"/>
      <family val="2"/>
    </font>
    <font>
      <b/>
      <vertAlign val="superscript"/>
      <sz val="8"/>
      <color rgb="FF0070C0"/>
      <name val="Arial"/>
      <family val="2"/>
    </font>
  </fonts>
  <fills count="19">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medium">
        <color indexed="16"/>
      </left>
      <right/>
      <top style="medium">
        <color indexed="16"/>
      </top>
      <bottom/>
      <diagonal/>
    </border>
    <border>
      <left/>
      <right/>
      <top style="medium">
        <color indexed="16"/>
      </top>
      <bottom/>
      <diagonal/>
    </border>
    <border>
      <left style="medium">
        <color indexed="16"/>
      </left>
      <right/>
      <top style="thin">
        <color indexed="16"/>
      </top>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right/>
      <top style="thin">
        <color indexed="16"/>
      </top>
      <bottom style="thin">
        <color indexed="16"/>
      </bottom>
      <diagonal/>
    </border>
    <border>
      <left/>
      <right/>
      <top style="thin">
        <color indexed="16"/>
      </top>
      <bottom style="medium">
        <color indexed="16"/>
      </bottom>
      <diagonal/>
    </border>
    <border>
      <left/>
      <right/>
      <top/>
      <bottom style="medium">
        <color indexed="16"/>
      </bottom>
      <diagonal/>
    </border>
    <border>
      <left/>
      <right style="medium">
        <color indexed="16"/>
      </right>
      <top/>
      <bottom style="medium">
        <color indexed="16"/>
      </bottom>
      <diagonal/>
    </border>
    <border>
      <left style="thin">
        <color indexed="16"/>
      </left>
      <right style="thin">
        <color indexed="16"/>
      </right>
      <top/>
      <bottom style="medium">
        <color indexed="16"/>
      </bottom>
      <diagonal/>
    </border>
    <border>
      <left/>
      <right/>
      <top style="thin">
        <color indexed="16"/>
      </top>
      <bottom/>
      <diagonal/>
    </border>
    <border>
      <left/>
      <right style="thin">
        <color indexed="16"/>
      </right>
      <top style="thin">
        <color indexed="16"/>
      </top>
      <bottom style="thin">
        <color indexed="16"/>
      </bottom>
      <diagonal/>
    </border>
    <border>
      <left style="thin">
        <color indexed="16"/>
      </left>
      <right style="medium">
        <color indexed="16"/>
      </right>
      <top style="thin">
        <color indexed="16"/>
      </top>
      <bottom style="thin">
        <color indexed="16"/>
      </bottom>
      <diagonal/>
    </border>
    <border>
      <left style="thin">
        <color indexed="16"/>
      </left>
      <right style="thin">
        <color indexed="16"/>
      </right>
      <top style="thin">
        <color indexed="16"/>
      </top>
      <bottom/>
      <diagonal/>
    </border>
    <border>
      <left style="thin">
        <color indexed="16"/>
      </left>
      <right style="medium">
        <color indexed="16"/>
      </right>
      <top style="thin">
        <color indexed="16"/>
      </top>
      <bottom/>
      <diagonal/>
    </border>
    <border>
      <left style="medium">
        <color indexed="53"/>
      </left>
      <right style="thin">
        <color indexed="16"/>
      </right>
      <top style="thin">
        <color indexed="16"/>
      </top>
      <bottom style="medium">
        <color indexed="16"/>
      </bottom>
      <diagonal/>
    </border>
    <border>
      <left style="thin">
        <color indexed="16"/>
      </left>
      <right style="thin">
        <color indexed="16"/>
      </right>
      <top style="thin">
        <color indexed="16"/>
      </top>
      <bottom style="medium">
        <color indexed="16"/>
      </bottom>
      <diagonal/>
    </border>
    <border>
      <left style="thin">
        <color indexed="16"/>
      </left>
      <right style="medium">
        <color indexed="16"/>
      </right>
      <top style="thin">
        <color indexed="16"/>
      </top>
      <bottom style="medium">
        <color indexed="16"/>
      </bottom>
      <diagonal/>
    </border>
    <border>
      <left style="thin">
        <color indexed="16"/>
      </left>
      <right/>
      <top/>
      <bottom style="medium">
        <color indexed="16"/>
      </bottom>
      <diagonal/>
    </border>
    <border>
      <left style="thin">
        <color indexed="16"/>
      </left>
      <right/>
      <top style="thin">
        <color indexed="16"/>
      </top>
      <bottom style="thin">
        <color indexed="16"/>
      </bottom>
      <diagonal/>
    </border>
    <border>
      <left style="thin">
        <color indexed="16"/>
      </left>
      <right/>
      <top style="thin">
        <color indexed="16"/>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16"/>
      </left>
      <right style="thin">
        <color indexed="16"/>
      </right>
      <top style="medium">
        <color indexed="16"/>
      </top>
      <bottom style="medium">
        <color indexed="16"/>
      </bottom>
      <diagonal/>
    </border>
    <border>
      <left/>
      <right/>
      <top style="double">
        <color indexed="25"/>
      </top>
      <bottom style="medium">
        <color indexed="64"/>
      </bottom>
      <diagonal/>
    </border>
    <border>
      <left style="medium">
        <color indexed="53"/>
      </left>
      <right style="medium">
        <color indexed="53"/>
      </right>
      <top style="thin">
        <color indexed="53"/>
      </top>
      <bottom style="thin">
        <color indexed="53"/>
      </bottom>
      <diagonal/>
    </border>
    <border>
      <left style="medium">
        <color indexed="53"/>
      </left>
      <right style="medium">
        <color indexed="53"/>
      </right>
      <top style="thin">
        <color indexed="53"/>
      </top>
      <bottom style="medium">
        <color indexed="53"/>
      </bottom>
      <diagonal/>
    </border>
    <border>
      <left/>
      <right style="medium">
        <color indexed="16"/>
      </right>
      <top style="thin">
        <color indexed="16"/>
      </top>
      <bottom/>
      <diagonal/>
    </border>
    <border>
      <left/>
      <right style="medium">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top/>
      <bottom/>
      <diagonal/>
    </border>
    <border>
      <left/>
      <right style="thin">
        <color indexed="16"/>
      </right>
      <top style="medium">
        <color indexed="16"/>
      </top>
      <bottom style="medium">
        <color indexed="16"/>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53"/>
      </right>
      <top style="medium">
        <color indexed="53"/>
      </top>
      <bottom style="medium">
        <color indexed="53"/>
      </bottom>
      <diagonal/>
    </border>
    <border>
      <left/>
      <right style="medium">
        <color indexed="53"/>
      </right>
      <top/>
      <bottom style="thin">
        <color indexed="53"/>
      </bottom>
      <diagonal/>
    </border>
    <border>
      <left/>
      <right style="medium">
        <color indexed="53"/>
      </right>
      <top style="thin">
        <color indexed="53"/>
      </top>
      <bottom style="thin">
        <color indexed="53"/>
      </bottom>
      <diagonal/>
    </border>
    <border>
      <left/>
      <right style="medium">
        <color indexed="64"/>
      </right>
      <top/>
      <bottom/>
      <diagonal/>
    </border>
    <border>
      <left/>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diagonalDown="1">
      <left/>
      <right/>
      <top style="thin">
        <color auto="1"/>
      </top>
      <bottom style="thin">
        <color auto="1"/>
      </bottom>
      <diagonal style="thin">
        <color auto="1"/>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40" fontId="2" fillId="0" borderId="0" applyFont="0" applyFill="0" applyBorder="0" applyAlignment="0" applyProtection="0"/>
    <xf numFmtId="0" fontId="27" fillId="0" borderId="0"/>
    <xf numFmtId="0" fontId="27" fillId="0" borderId="0"/>
    <xf numFmtId="0" fontId="27" fillId="0" borderId="0"/>
  </cellStyleXfs>
  <cellXfs count="636">
    <xf numFmtId="0" fontId="0" fillId="0" borderId="0" xfId="0"/>
    <xf numFmtId="0" fontId="8"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3" fontId="13" fillId="0" borderId="4" xfId="1" applyNumberFormat="1" applyFont="1" applyBorder="1" applyAlignment="1" applyProtection="1">
      <alignment horizontal="left"/>
      <protection hidden="1"/>
    </xf>
    <xf numFmtId="40" fontId="13" fillId="0" borderId="5" xfId="1" applyFont="1" applyBorder="1" applyAlignment="1" applyProtection="1">
      <alignment horizontal="left"/>
      <protection hidden="1"/>
    </xf>
    <xf numFmtId="3" fontId="13" fillId="0" borderId="5" xfId="1" applyNumberFormat="1" applyFont="1" applyBorder="1" applyAlignment="1" applyProtection="1">
      <alignment horizontal="left"/>
      <protection hidden="1"/>
    </xf>
    <xf numFmtId="164" fontId="13" fillId="0" borderId="5" xfId="1" applyNumberFormat="1" applyFont="1" applyBorder="1" applyAlignment="1" applyProtection="1">
      <alignment horizontal="left"/>
      <protection hidden="1"/>
    </xf>
    <xf numFmtId="3" fontId="13" fillId="0" borderId="6" xfId="1" applyNumberFormat="1" applyFont="1" applyBorder="1" applyAlignment="1" applyProtection="1">
      <alignment horizontal="left"/>
      <protection hidden="1"/>
    </xf>
    <xf numFmtId="40" fontId="13" fillId="0" borderId="7" xfId="1" applyFont="1" applyBorder="1" applyAlignment="1" applyProtection="1">
      <alignment horizontal="left"/>
      <protection hidden="1"/>
    </xf>
    <xf numFmtId="3" fontId="13" fillId="0" borderId="7" xfId="1" applyNumberFormat="1" applyFont="1" applyBorder="1" applyAlignment="1" applyProtection="1">
      <alignment horizontal="left"/>
      <protection hidden="1"/>
    </xf>
    <xf numFmtId="164" fontId="13" fillId="0" borderId="7" xfId="1" applyNumberFormat="1" applyFont="1" applyBorder="1" applyAlignment="1" applyProtection="1">
      <alignment horizontal="left"/>
      <protection hidden="1"/>
    </xf>
    <xf numFmtId="3" fontId="13" fillId="0" borderId="8" xfId="1" applyNumberFormat="1" applyFont="1" applyBorder="1" applyAlignment="1" applyProtection="1">
      <alignment horizontal="left"/>
      <protection hidden="1"/>
    </xf>
    <xf numFmtId="0" fontId="21" fillId="0" borderId="9" xfId="0" applyFont="1" applyBorder="1" applyAlignment="1" applyProtection="1">
      <alignment horizontal="center"/>
      <protection hidden="1"/>
    </xf>
    <xf numFmtId="0" fontId="21" fillId="0" borderId="10" xfId="0" applyFont="1" applyBorder="1" applyAlignment="1" applyProtection="1">
      <alignment horizontal="center"/>
      <protection hidden="1"/>
    </xf>
    <xf numFmtId="0" fontId="21" fillId="0" borderId="11" xfId="0" applyFont="1" applyBorder="1" applyAlignment="1" applyProtection="1">
      <alignment horizontal="center"/>
      <protection hidden="1"/>
    </xf>
    <xf numFmtId="0" fontId="5" fillId="0" borderId="0" xfId="0" applyFont="1" applyAlignment="1" applyProtection="1">
      <alignment horizontal="center"/>
      <protection hidden="1"/>
    </xf>
    <xf numFmtId="3" fontId="8" fillId="0" borderId="0" xfId="1" applyNumberFormat="1" applyFont="1" applyFill="1" applyBorder="1" applyAlignment="1" applyProtection="1">
      <alignment horizontal="left"/>
      <protection hidden="1"/>
    </xf>
    <xf numFmtId="168" fontId="14" fillId="0" borderId="0" xfId="0" applyNumberFormat="1" applyFont="1" applyAlignment="1" applyProtection="1">
      <alignment horizontal="center"/>
      <protection hidden="1"/>
    </xf>
    <xf numFmtId="0" fontId="14" fillId="0" borderId="0" xfId="0" applyFont="1" applyAlignment="1" applyProtection="1">
      <alignment horizontal="center"/>
      <protection hidden="1"/>
    </xf>
    <xf numFmtId="1" fontId="14"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168" fontId="16" fillId="0" borderId="0" xfId="1" applyNumberFormat="1" applyFont="1" applyFill="1" applyBorder="1" applyAlignment="1" applyProtection="1">
      <protection hidden="1"/>
    </xf>
    <xf numFmtId="168" fontId="16" fillId="0" borderId="0" xfId="0" applyNumberFormat="1" applyFont="1" applyProtection="1">
      <protection hidden="1"/>
    </xf>
    <xf numFmtId="166" fontId="6" fillId="0" borderId="0" xfId="0" applyNumberFormat="1" applyFont="1" applyAlignment="1" applyProtection="1">
      <alignment horizontal="center"/>
      <protection hidden="1"/>
    </xf>
    <xf numFmtId="2" fontId="15" fillId="0" borderId="0" xfId="0" applyNumberFormat="1" applyFont="1" applyAlignment="1" applyProtection="1">
      <alignment horizontal="center"/>
      <protection hidden="1"/>
    </xf>
    <xf numFmtId="0" fontId="14" fillId="0" borderId="0" xfId="0" quotePrefix="1" applyFont="1" applyAlignment="1" applyProtection="1">
      <alignment horizontal="left"/>
      <protection hidden="1"/>
    </xf>
    <xf numFmtId="38" fontId="10" fillId="0" borderId="0" xfId="1" applyNumberFormat="1" applyFont="1" applyFill="1" applyBorder="1" applyAlignment="1" applyProtection="1">
      <alignment horizontal="center"/>
      <protection hidden="1"/>
    </xf>
    <xf numFmtId="38" fontId="18" fillId="0" borderId="0" xfId="1" applyNumberFormat="1" applyFont="1" applyFill="1" applyBorder="1" applyAlignment="1" applyProtection="1">
      <alignment horizontal="center"/>
      <protection hidden="1"/>
    </xf>
    <xf numFmtId="38" fontId="7" fillId="0" borderId="0" xfId="1" applyNumberFormat="1" applyFont="1" applyFill="1" applyBorder="1" applyAlignment="1" applyProtection="1">
      <alignment horizontal="center"/>
      <protection hidden="1"/>
    </xf>
    <xf numFmtId="38" fontId="19" fillId="0" borderId="0" xfId="1" applyNumberFormat="1" applyFont="1" applyFill="1" applyBorder="1" applyAlignment="1" applyProtection="1">
      <alignment horizontal="center"/>
      <protection hidden="1"/>
    </xf>
    <xf numFmtId="2" fontId="5" fillId="0" borderId="0" xfId="0" applyNumberFormat="1" applyFont="1" applyProtection="1">
      <protection hidden="1"/>
    </xf>
    <xf numFmtId="0" fontId="5" fillId="0" borderId="0" xfId="0" applyFont="1" applyProtection="1">
      <protection hidden="1"/>
    </xf>
    <xf numFmtId="3" fontId="13" fillId="0" borderId="12" xfId="1" applyNumberFormat="1" applyFont="1" applyBorder="1" applyAlignment="1" applyProtection="1">
      <protection hidden="1"/>
    </xf>
    <xf numFmtId="165" fontId="21" fillId="2" borderId="13" xfId="1" applyNumberFormat="1" applyFont="1" applyFill="1" applyBorder="1" applyAlignment="1" applyProtection="1">
      <protection hidden="1"/>
    </xf>
    <xf numFmtId="3" fontId="21" fillId="2" borderId="15" xfId="1" applyNumberFormat="1" applyFont="1" applyFill="1" applyBorder="1" applyAlignment="1" applyProtection="1">
      <protection hidden="1"/>
    </xf>
    <xf numFmtId="3" fontId="21" fillId="2" borderId="17" xfId="1" applyNumberFormat="1" applyFont="1" applyFill="1" applyBorder="1" applyAlignment="1" applyProtection="1">
      <protection hidden="1"/>
    </xf>
    <xf numFmtId="3" fontId="21" fillId="2" borderId="18" xfId="1" applyNumberFormat="1" applyFont="1" applyFill="1" applyBorder="1" applyAlignment="1" applyProtection="1">
      <protection hidden="1"/>
    </xf>
    <xf numFmtId="3" fontId="21" fillId="2" borderId="19" xfId="1" applyNumberFormat="1" applyFont="1" applyFill="1" applyBorder="1" applyAlignment="1" applyProtection="1">
      <protection hidden="1"/>
    </xf>
    <xf numFmtId="0" fontId="0" fillId="0" borderId="0" xfId="0" applyProtection="1">
      <protection hidden="1"/>
    </xf>
    <xf numFmtId="0" fontId="1" fillId="0" borderId="0" xfId="0" applyFont="1" applyProtection="1">
      <protection hidden="1"/>
    </xf>
    <xf numFmtId="0" fontId="9" fillId="0" borderId="0" xfId="0" applyFont="1" applyProtection="1">
      <protection hidden="1"/>
    </xf>
    <xf numFmtId="3" fontId="8" fillId="0" borderId="0" xfId="1" applyNumberFormat="1" applyFont="1" applyFill="1" applyBorder="1" applyAlignment="1" applyProtection="1">
      <protection hidden="1"/>
    </xf>
    <xf numFmtId="4" fontId="4" fillId="0" borderId="0" xfId="1" applyNumberFormat="1" applyFont="1" applyFill="1" applyBorder="1" applyAlignment="1" applyProtection="1">
      <protection hidden="1"/>
    </xf>
    <xf numFmtId="3" fontId="9" fillId="0" borderId="0" xfId="1" applyNumberFormat="1" applyFont="1" applyFill="1" applyBorder="1" applyAlignment="1" applyProtection="1">
      <protection hidden="1"/>
    </xf>
    <xf numFmtId="168" fontId="5" fillId="0" borderId="0" xfId="0" applyNumberFormat="1" applyFont="1" applyProtection="1">
      <protection hidden="1"/>
    </xf>
    <xf numFmtId="1" fontId="5" fillId="0" borderId="0" xfId="0" applyNumberFormat="1" applyFont="1" applyProtection="1">
      <protection hidden="1"/>
    </xf>
    <xf numFmtId="0" fontId="22" fillId="0" borderId="0" xfId="0" applyFont="1" applyProtection="1">
      <protection hidden="1"/>
    </xf>
    <xf numFmtId="0" fontId="14" fillId="0" borderId="0" xfId="0" applyFont="1" applyProtection="1">
      <protection hidden="1"/>
    </xf>
    <xf numFmtId="168" fontId="21" fillId="0" borderId="0" xfId="0" applyNumberFormat="1" applyFont="1" applyProtection="1">
      <protection hidden="1"/>
    </xf>
    <xf numFmtId="1" fontId="21" fillId="0" borderId="0" xfId="0" applyNumberFormat="1" applyFont="1" applyProtection="1">
      <protection hidden="1"/>
    </xf>
    <xf numFmtId="38" fontId="5" fillId="0" borderId="0" xfId="1" applyNumberFormat="1" applyFont="1" applyFill="1" applyBorder="1" applyAlignment="1" applyProtection="1">
      <protection hidden="1"/>
    </xf>
    <xf numFmtId="38" fontId="14" fillId="0" borderId="0" xfId="1" applyNumberFormat="1" applyFont="1" applyFill="1" applyBorder="1" applyAlignment="1" applyProtection="1">
      <protection hidden="1"/>
    </xf>
    <xf numFmtId="0" fontId="21" fillId="0" borderId="20" xfId="0" applyFont="1" applyBorder="1" applyAlignment="1" applyProtection="1">
      <alignment horizontal="center"/>
      <protection hidden="1"/>
    </xf>
    <xf numFmtId="38" fontId="5" fillId="0" borderId="0" xfId="1" applyNumberFormat="1" applyFont="1" applyFill="1" applyBorder="1" applyAlignment="1" applyProtection="1">
      <alignment horizontal="center"/>
      <protection hidden="1"/>
    </xf>
    <xf numFmtId="0" fontId="17" fillId="0" borderId="0" xfId="0" applyFont="1" applyProtection="1">
      <protection hidden="1"/>
    </xf>
    <xf numFmtId="3" fontId="3" fillId="0" borderId="0" xfId="1" applyNumberFormat="1" applyFont="1" applyFill="1" applyBorder="1" applyAlignment="1" applyProtection="1">
      <alignment horizontal="left"/>
      <protection hidden="1"/>
    </xf>
    <xf numFmtId="3" fontId="3" fillId="0" borderId="0" xfId="1" quotePrefix="1" applyNumberFormat="1" applyFont="1" applyFill="1" applyBorder="1" applyAlignment="1" applyProtection="1">
      <alignment horizontal="left"/>
      <protection hidden="1"/>
    </xf>
    <xf numFmtId="3" fontId="5" fillId="0" borderId="0" xfId="0" applyNumberFormat="1" applyFont="1" applyProtection="1">
      <protection hidden="1"/>
    </xf>
    <xf numFmtId="3" fontId="13" fillId="0" borderId="0" xfId="1" applyNumberFormat="1" applyFont="1" applyFill="1" applyBorder="1" applyAlignment="1" applyProtection="1">
      <alignment horizontal="left"/>
      <protection hidden="1"/>
    </xf>
    <xf numFmtId="3" fontId="13" fillId="0" borderId="0" xfId="1" applyNumberFormat="1" applyFont="1" applyFill="1" applyBorder="1" applyAlignment="1" applyProtection="1">
      <protection hidden="1"/>
    </xf>
    <xf numFmtId="40" fontId="13" fillId="0" borderId="0" xfId="1" applyFont="1" applyFill="1" applyBorder="1" applyAlignment="1" applyProtection="1">
      <alignment horizontal="left"/>
      <protection hidden="1"/>
    </xf>
    <xf numFmtId="38" fontId="5" fillId="0" borderId="0" xfId="0" applyNumberFormat="1" applyFont="1" applyProtection="1">
      <protection hidden="1"/>
    </xf>
    <xf numFmtId="164" fontId="13" fillId="0" borderId="0" xfId="1" applyNumberFormat="1" applyFont="1" applyFill="1" applyBorder="1" applyAlignment="1" applyProtection="1">
      <alignment horizontal="left"/>
      <protection hidden="1"/>
    </xf>
    <xf numFmtId="3" fontId="13" fillId="0" borderId="0" xfId="1" quotePrefix="1" applyNumberFormat="1" applyFont="1" applyFill="1" applyBorder="1" applyAlignment="1" applyProtection="1">
      <alignment horizontal="left"/>
      <protection hidden="1"/>
    </xf>
    <xf numFmtId="0" fontId="12" fillId="0" borderId="0" xfId="0" applyFont="1" applyProtection="1">
      <protection hidden="1"/>
    </xf>
    <xf numFmtId="0" fontId="12" fillId="0" borderId="0" xfId="0" applyFont="1" applyAlignment="1" applyProtection="1">
      <alignment horizontal="center"/>
      <protection hidden="1"/>
    </xf>
    <xf numFmtId="38" fontId="12" fillId="0" borderId="0" xfId="0" applyNumberFormat="1" applyFont="1" applyAlignment="1" applyProtection="1">
      <alignment horizontal="center"/>
      <protection hidden="1"/>
    </xf>
    <xf numFmtId="0" fontId="32" fillId="0" borderId="0" xfId="0" applyFont="1"/>
    <xf numFmtId="0" fontId="33" fillId="0" borderId="0" xfId="0" applyFont="1"/>
    <xf numFmtId="0" fontId="33" fillId="0" borderId="0" xfId="0" applyFont="1" applyAlignment="1">
      <alignment horizontal="right"/>
    </xf>
    <xf numFmtId="0" fontId="32" fillId="0" borderId="0" xfId="0" applyFont="1" applyAlignment="1">
      <alignment horizontal="right"/>
    </xf>
    <xf numFmtId="0" fontId="36" fillId="0" borderId="0" xfId="0" applyFont="1"/>
    <xf numFmtId="0" fontId="38" fillId="0" borderId="0" xfId="0" applyFont="1"/>
    <xf numFmtId="0" fontId="38" fillId="0" borderId="0" xfId="0" applyFont="1" applyAlignment="1">
      <alignment horizontal="right"/>
    </xf>
    <xf numFmtId="0" fontId="38" fillId="0" borderId="0" xfId="0" quotePrefix="1" applyFont="1" applyAlignment="1">
      <alignment horizontal="right"/>
    </xf>
    <xf numFmtId="3" fontId="21" fillId="0" borderId="7" xfId="1" applyNumberFormat="1" applyFont="1" applyBorder="1" applyAlignment="1" applyProtection="1">
      <protection locked="0"/>
    </xf>
    <xf numFmtId="3" fontId="21" fillId="0" borderId="21" xfId="1" applyNumberFormat="1" applyFont="1" applyBorder="1" applyAlignment="1" applyProtection="1">
      <protection locked="0"/>
    </xf>
    <xf numFmtId="3" fontId="21" fillId="0" borderId="14" xfId="1" applyNumberFormat="1" applyFont="1" applyBorder="1" applyAlignment="1" applyProtection="1">
      <protection locked="0"/>
    </xf>
    <xf numFmtId="3" fontId="21" fillId="0" borderId="12" xfId="1" applyNumberFormat="1" applyFont="1" applyBorder="1" applyAlignment="1" applyProtection="1">
      <protection locked="0"/>
    </xf>
    <xf numFmtId="3" fontId="21" fillId="0" borderId="22" xfId="1" applyNumberFormat="1" applyFont="1" applyBorder="1" applyAlignment="1" applyProtection="1">
      <protection locked="0"/>
    </xf>
    <xf numFmtId="3" fontId="21" fillId="0" borderId="16" xfId="1" applyNumberFormat="1" applyFont="1" applyBorder="1" applyAlignment="1" applyProtection="1">
      <protection locked="0"/>
    </xf>
    <xf numFmtId="164" fontId="21" fillId="0" borderId="7" xfId="1" applyNumberFormat="1" applyFont="1" applyBorder="1" applyAlignment="1" applyProtection="1">
      <protection locked="0"/>
    </xf>
    <xf numFmtId="164" fontId="21" fillId="0" borderId="12" xfId="1" applyNumberFormat="1" applyFont="1" applyBorder="1" applyAlignment="1" applyProtection="1">
      <protection locked="0"/>
    </xf>
    <xf numFmtId="3" fontId="21" fillId="0" borderId="13" xfId="1" applyNumberFormat="1" applyFont="1" applyBorder="1" applyAlignment="1" applyProtection="1">
      <protection locked="0"/>
    </xf>
    <xf numFmtId="0" fontId="25" fillId="0" borderId="0" xfId="0" applyFont="1" applyProtection="1">
      <protection hidden="1"/>
    </xf>
    <xf numFmtId="4" fontId="9" fillId="0" borderId="23" xfId="1" applyNumberFormat="1" applyFont="1" applyBorder="1" applyAlignment="1" applyProtection="1">
      <alignment horizontal="center"/>
      <protection hidden="1"/>
    </xf>
    <xf numFmtId="4" fontId="9" fillId="0" borderId="24" xfId="1" applyNumberFormat="1" applyFont="1" applyBorder="1" applyAlignment="1" applyProtection="1">
      <alignment horizontal="center"/>
      <protection hidden="1"/>
    </xf>
    <xf numFmtId="4" fontId="7" fillId="0" borderId="25" xfId="1" applyNumberFormat="1" applyFont="1" applyBorder="1" applyAlignment="1" applyProtection="1">
      <alignment horizontal="center"/>
      <protection hidden="1"/>
    </xf>
    <xf numFmtId="4" fontId="7" fillId="0" borderId="26" xfId="1" applyNumberFormat="1" applyFont="1" applyBorder="1" applyAlignment="1" applyProtection="1">
      <alignment horizontal="center"/>
      <protection hidden="1"/>
    </xf>
    <xf numFmtId="4" fontId="21" fillId="0" borderId="12" xfId="1" applyNumberFormat="1" applyFont="1" applyBorder="1" applyAlignment="1" applyProtection="1">
      <protection locked="0"/>
    </xf>
    <xf numFmtId="0" fontId="43" fillId="0" borderId="0" xfId="0" applyFont="1" applyProtection="1">
      <protection hidden="1"/>
    </xf>
    <xf numFmtId="2" fontId="43" fillId="0" borderId="0" xfId="0" applyNumberFormat="1" applyFont="1" applyProtection="1">
      <protection hidden="1"/>
    </xf>
    <xf numFmtId="0" fontId="46" fillId="0" borderId="0" xfId="0" applyFont="1" applyAlignment="1" applyProtection="1">
      <alignment horizontal="left"/>
      <protection hidden="1"/>
    </xf>
    <xf numFmtId="14" fontId="21" fillId="0" borderId="27" xfId="0" applyNumberFormat="1" applyFont="1" applyBorder="1" applyAlignment="1" applyProtection="1">
      <alignment horizontal="center"/>
      <protection locked="0"/>
    </xf>
    <xf numFmtId="0" fontId="8" fillId="0" borderId="28" xfId="0" applyFont="1" applyBorder="1" applyAlignment="1" applyProtection="1">
      <alignment horizontal="center"/>
      <protection hidden="1"/>
    </xf>
    <xf numFmtId="166" fontId="8" fillId="0" borderId="28" xfId="0" applyNumberFormat="1" applyFont="1" applyBorder="1" applyAlignment="1" applyProtection="1">
      <alignment horizontal="center"/>
      <protection hidden="1"/>
    </xf>
    <xf numFmtId="0" fontId="31" fillId="0" borderId="28" xfId="0" applyFont="1" applyBorder="1" applyAlignment="1" applyProtection="1">
      <alignment horizontal="center"/>
      <protection hidden="1"/>
    </xf>
    <xf numFmtId="0" fontId="22" fillId="0" borderId="0" xfId="0" applyFont="1" applyAlignment="1" applyProtection="1">
      <alignment horizontal="left"/>
      <protection hidden="1"/>
    </xf>
    <xf numFmtId="0" fontId="52" fillId="0" borderId="0" xfId="0" applyFont="1" applyAlignment="1" applyProtection="1">
      <alignment horizontal="left"/>
      <protection hidden="1"/>
    </xf>
    <xf numFmtId="0" fontId="53" fillId="0" borderId="0" xfId="0" applyFont="1" applyAlignment="1" applyProtection="1">
      <alignment horizontal="left"/>
      <protection hidden="1"/>
    </xf>
    <xf numFmtId="164" fontId="54" fillId="0" borderId="29" xfId="1" applyNumberFormat="1" applyFont="1" applyBorder="1" applyAlignment="1" applyProtection="1">
      <alignment horizontal="center"/>
      <protection hidden="1"/>
    </xf>
    <xf numFmtId="164" fontId="54" fillId="0" borderId="30" xfId="1" applyNumberFormat="1" applyFont="1" applyBorder="1" applyAlignment="1" applyProtection="1">
      <alignment horizontal="center"/>
      <protection hidden="1"/>
    </xf>
    <xf numFmtId="0" fontId="21" fillId="0" borderId="0" xfId="0" applyFont="1" applyProtection="1">
      <protection locked="0" hidden="1"/>
    </xf>
    <xf numFmtId="3" fontId="21" fillId="0" borderId="0" xfId="0" applyNumberFormat="1" applyFont="1" applyProtection="1">
      <protection locked="0" hidden="1"/>
    </xf>
    <xf numFmtId="166" fontId="49" fillId="0" borderId="0" xfId="0" applyNumberFormat="1" applyFont="1" applyProtection="1">
      <protection locked="0" hidden="1"/>
    </xf>
    <xf numFmtId="167" fontId="49" fillId="0" borderId="0" xfId="0" applyNumberFormat="1" applyFont="1" applyAlignment="1" applyProtection="1">
      <alignment horizontal="center"/>
      <protection locked="0" hidden="1"/>
    </xf>
    <xf numFmtId="0" fontId="49" fillId="0" borderId="0" xfId="0" applyFont="1" applyProtection="1">
      <protection locked="0" hidden="1"/>
    </xf>
    <xf numFmtId="3" fontId="39" fillId="0" borderId="4" xfId="1" applyNumberFormat="1" applyFont="1" applyBorder="1" applyAlignment="1" applyProtection="1">
      <alignment horizontal="left"/>
      <protection locked="0" hidden="1"/>
    </xf>
    <xf numFmtId="3" fontId="39" fillId="0" borderId="31" xfId="1" applyNumberFormat="1" applyFont="1" applyBorder="1" applyProtection="1">
      <protection locked="0" hidden="1"/>
    </xf>
    <xf numFmtId="4" fontId="50" fillId="0" borderId="16" xfId="1" applyNumberFormat="1" applyFont="1" applyBorder="1" applyProtection="1">
      <protection locked="0" hidden="1"/>
    </xf>
    <xf numFmtId="164" fontId="21" fillId="0" borderId="22" xfId="1" applyNumberFormat="1" applyFont="1" applyBorder="1" applyProtection="1">
      <protection locked="0" hidden="1"/>
    </xf>
    <xf numFmtId="164" fontId="51" fillId="0" borderId="0" xfId="0" applyNumberFormat="1" applyFont="1" applyProtection="1">
      <protection locked="0" hidden="1"/>
    </xf>
    <xf numFmtId="3" fontId="39" fillId="0" borderId="5" xfId="1" applyNumberFormat="1" applyFont="1" applyBorder="1" applyAlignment="1" applyProtection="1">
      <alignment horizontal="left"/>
      <protection locked="0" hidden="1"/>
    </xf>
    <xf numFmtId="3" fontId="39" fillId="0" borderId="32" xfId="1" applyNumberFormat="1" applyFont="1" applyBorder="1" applyAlignment="1" applyProtection="1">
      <alignment horizontal="left"/>
      <protection locked="0" hidden="1"/>
    </xf>
    <xf numFmtId="164" fontId="50" fillId="0" borderId="16" xfId="1" applyNumberFormat="1" applyFont="1" applyBorder="1" applyProtection="1">
      <protection locked="0" hidden="1"/>
    </xf>
    <xf numFmtId="167" fontId="21" fillId="0" borderId="0" xfId="0" applyNumberFormat="1" applyFont="1" applyProtection="1">
      <protection locked="0" hidden="1"/>
    </xf>
    <xf numFmtId="3" fontId="50" fillId="0" borderId="16" xfId="1" applyNumberFormat="1" applyFont="1" applyBorder="1" applyProtection="1">
      <protection locked="0" hidden="1"/>
    </xf>
    <xf numFmtId="168" fontId="19" fillId="0" borderId="0" xfId="0" applyNumberFormat="1" applyFont="1" applyAlignment="1" applyProtection="1">
      <alignment horizontal="center"/>
      <protection locked="0" hidden="1"/>
    </xf>
    <xf numFmtId="168" fontId="21" fillId="0" borderId="0" xfId="0" applyNumberFormat="1" applyFont="1" applyProtection="1">
      <protection locked="0" hidden="1"/>
    </xf>
    <xf numFmtId="0" fontId="21" fillId="0" borderId="0" xfId="0" applyFont="1" applyAlignment="1" applyProtection="1">
      <alignment horizontal="center"/>
      <protection locked="0" hidden="1"/>
    </xf>
    <xf numFmtId="1" fontId="21" fillId="0" borderId="0" xfId="0" applyNumberFormat="1" applyFont="1" applyProtection="1">
      <protection locked="0" hidden="1"/>
    </xf>
    <xf numFmtId="0" fontId="19" fillId="0" borderId="0" xfId="0" applyFont="1" applyProtection="1">
      <protection locked="0" hidden="1"/>
    </xf>
    <xf numFmtId="0" fontId="26" fillId="3" borderId="33" xfId="0" applyFont="1" applyFill="1" applyBorder="1" applyAlignment="1" applyProtection="1">
      <alignment horizontal="center"/>
      <protection locked="0" hidden="1"/>
    </xf>
    <xf numFmtId="0" fontId="15" fillId="0" borderId="1" xfId="3" applyFont="1" applyBorder="1" applyAlignment="1" applyProtection="1">
      <alignment horizontal="left"/>
      <protection locked="0" hidden="1"/>
    </xf>
    <xf numFmtId="0" fontId="19" fillId="0" borderId="0" xfId="0" applyFont="1" applyAlignment="1" applyProtection="1">
      <alignment horizontal="center"/>
      <protection locked="0" hidden="1"/>
    </xf>
    <xf numFmtId="174" fontId="21" fillId="0" borderId="0" xfId="0" applyNumberFormat="1" applyFont="1" applyProtection="1">
      <protection locked="0" hidden="1"/>
    </xf>
    <xf numFmtId="0" fontId="15" fillId="0" borderId="0" xfId="3" applyFont="1" applyAlignment="1" applyProtection="1">
      <alignment horizontal="right"/>
      <protection locked="0" hidden="1"/>
    </xf>
    <xf numFmtId="0" fontId="15" fillId="0" borderId="1" xfId="3" applyFont="1" applyBorder="1" applyAlignment="1" applyProtection="1">
      <alignment horizontal="right"/>
      <protection locked="0" hidden="1"/>
    </xf>
    <xf numFmtId="0" fontId="15" fillId="0" borderId="1" xfId="3" applyFont="1" applyBorder="1" applyAlignment="1" applyProtection="1">
      <alignment horizontal="center"/>
      <protection locked="0" hidden="1"/>
    </xf>
    <xf numFmtId="3" fontId="15" fillId="0" borderId="1" xfId="3" applyNumberFormat="1" applyFont="1" applyBorder="1" applyAlignment="1" applyProtection="1">
      <alignment horizontal="center"/>
      <protection locked="0" hidden="1"/>
    </xf>
    <xf numFmtId="172" fontId="19" fillId="0" borderId="0" xfId="0" applyNumberFormat="1" applyFont="1" applyAlignment="1" applyProtection="1">
      <alignment horizontal="center"/>
      <protection locked="0" hidden="1"/>
    </xf>
    <xf numFmtId="0" fontId="23" fillId="0" borderId="0" xfId="0" applyFont="1" applyAlignment="1" applyProtection="1">
      <alignment horizontal="center"/>
      <protection locked="0" hidden="1"/>
    </xf>
    <xf numFmtId="0" fontId="21" fillId="0" borderId="0" xfId="0" applyFont="1" applyAlignment="1" applyProtection="1">
      <alignment horizontal="left"/>
      <protection locked="0" hidden="1"/>
    </xf>
    <xf numFmtId="0" fontId="15" fillId="0" borderId="34" xfId="3" applyFont="1" applyBorder="1" applyAlignment="1" applyProtection="1">
      <alignment horizontal="right"/>
      <protection locked="0" hidden="1"/>
    </xf>
    <xf numFmtId="4" fontId="15" fillId="0" borderId="1" xfId="3" applyNumberFormat="1" applyFont="1" applyBorder="1" applyAlignment="1" applyProtection="1">
      <alignment horizontal="center"/>
      <protection locked="0" hidden="1"/>
    </xf>
    <xf numFmtId="172" fontId="21" fillId="0" borderId="0" xfId="0" applyNumberFormat="1" applyFont="1" applyProtection="1">
      <protection locked="0" hidden="1"/>
    </xf>
    <xf numFmtId="168" fontId="24" fillId="0" borderId="0" xfId="1" applyNumberFormat="1" applyFont="1" applyAlignment="1" applyProtection="1">
      <protection locked="0" hidden="1"/>
    </xf>
    <xf numFmtId="168" fontId="24" fillId="0" borderId="0" xfId="0" applyNumberFormat="1" applyFont="1" applyProtection="1">
      <protection locked="0" hidden="1"/>
    </xf>
    <xf numFmtId="3" fontId="15" fillId="0" borderId="1" xfId="3" applyNumberFormat="1" applyFont="1" applyBorder="1" applyAlignment="1" applyProtection="1">
      <alignment horizontal="right"/>
      <protection locked="0" hidden="1"/>
    </xf>
    <xf numFmtId="1" fontId="21" fillId="0" borderId="0" xfId="0" applyNumberFormat="1" applyFont="1" applyAlignment="1" applyProtection="1">
      <alignment horizontal="left"/>
      <protection locked="0" hidden="1"/>
    </xf>
    <xf numFmtId="1" fontId="15" fillId="0" borderId="35" xfId="3" applyNumberFormat="1" applyFont="1" applyBorder="1" applyAlignment="1" applyProtection="1">
      <alignment horizontal="center"/>
      <protection locked="0" hidden="1"/>
    </xf>
    <xf numFmtId="165" fontId="15" fillId="0" borderId="35" xfId="3" applyNumberFormat="1" applyFont="1" applyBorder="1" applyAlignment="1" applyProtection="1">
      <alignment horizontal="center"/>
      <protection locked="0" hidden="1"/>
    </xf>
    <xf numFmtId="0" fontId="15" fillId="0" borderId="35" xfId="3" applyFont="1" applyBorder="1" applyAlignment="1" applyProtection="1">
      <alignment horizontal="left"/>
      <protection locked="0" hidden="1"/>
    </xf>
    <xf numFmtId="1" fontId="21" fillId="0" borderId="0" xfId="0" applyNumberFormat="1" applyFont="1" applyAlignment="1" applyProtection="1">
      <alignment horizontal="center"/>
      <protection locked="0" hidden="1"/>
    </xf>
    <xf numFmtId="2" fontId="29" fillId="0" borderId="0" xfId="0" applyNumberFormat="1" applyFont="1" applyAlignment="1" applyProtection="1">
      <alignment horizontal="center"/>
      <protection locked="0" hidden="1"/>
    </xf>
    <xf numFmtId="0" fontId="15" fillId="0" borderId="0" xfId="3" applyFont="1" applyAlignment="1" applyProtection="1">
      <alignment horizontal="center"/>
      <protection locked="0" hidden="1"/>
    </xf>
    <xf numFmtId="4" fontId="15" fillId="0" borderId="0" xfId="3" applyNumberFormat="1" applyFont="1" applyAlignment="1" applyProtection="1">
      <alignment horizontal="right"/>
      <protection locked="0" hidden="1"/>
    </xf>
    <xf numFmtId="0" fontId="26" fillId="0" borderId="0" xfId="0" applyFont="1" applyAlignment="1" applyProtection="1">
      <alignment horizontal="left"/>
      <protection locked="0" hidden="1"/>
    </xf>
    <xf numFmtId="171" fontId="21" fillId="0" borderId="0" xfId="0" applyNumberFormat="1" applyFont="1" applyAlignment="1" applyProtection="1">
      <alignment horizontal="center"/>
      <protection locked="0" hidden="1"/>
    </xf>
    <xf numFmtId="2" fontId="21" fillId="0" borderId="0" xfId="0" applyNumberFormat="1" applyFont="1" applyAlignment="1" applyProtection="1">
      <alignment horizontal="center"/>
      <protection locked="0" hidden="1"/>
    </xf>
    <xf numFmtId="3" fontId="21" fillId="0" borderId="1" xfId="0" applyNumberFormat="1" applyFont="1" applyBorder="1" applyProtection="1">
      <protection locked="0" hidden="1"/>
    </xf>
    <xf numFmtId="1" fontId="15" fillId="0" borderId="1" xfId="3" applyNumberFormat="1" applyFont="1" applyBorder="1" applyAlignment="1" applyProtection="1">
      <alignment horizontal="center"/>
      <protection locked="0" hidden="1"/>
    </xf>
    <xf numFmtId="3" fontId="21" fillId="0" borderId="0" xfId="0" applyNumberFormat="1" applyFont="1" applyAlignment="1" applyProtection="1">
      <alignment horizontal="center"/>
      <protection locked="0" hidden="1"/>
    </xf>
    <xf numFmtId="1" fontId="29" fillId="0" borderId="0" xfId="0" applyNumberFormat="1" applyFont="1" applyAlignment="1" applyProtection="1">
      <alignment horizontal="center"/>
      <protection locked="0" hidden="1"/>
    </xf>
    <xf numFmtId="171" fontId="21" fillId="0" borderId="0" xfId="0" applyNumberFormat="1" applyFont="1" applyAlignment="1" applyProtection="1">
      <alignment horizontal="right"/>
      <protection locked="0" hidden="1"/>
    </xf>
    <xf numFmtId="0" fontId="26" fillId="0" borderId="0" xfId="0" applyFont="1" applyAlignment="1" applyProtection="1">
      <alignment horizontal="center"/>
      <protection locked="0" hidden="1"/>
    </xf>
    <xf numFmtId="0" fontId="26" fillId="3" borderId="36" xfId="0" applyFont="1" applyFill="1" applyBorder="1" applyAlignment="1" applyProtection="1">
      <alignment horizontal="center"/>
      <protection locked="0" hidden="1"/>
    </xf>
    <xf numFmtId="3" fontId="15" fillId="0" borderId="0" xfId="3" applyNumberFormat="1" applyFont="1" applyAlignment="1" applyProtection="1">
      <alignment horizontal="center"/>
      <protection locked="0" hidden="1"/>
    </xf>
    <xf numFmtId="2" fontId="21" fillId="0" borderId="0" xfId="3" applyNumberFormat="1" applyFont="1" applyAlignment="1" applyProtection="1">
      <alignment horizontal="right"/>
      <protection locked="0" hidden="1"/>
    </xf>
    <xf numFmtId="0" fontId="15" fillId="0" borderId="1" xfId="2" applyFont="1" applyBorder="1" applyAlignment="1" applyProtection="1">
      <alignment horizontal="left"/>
      <protection locked="0" hidden="1"/>
    </xf>
    <xf numFmtId="171" fontId="21" fillId="0" borderId="0" xfId="0" applyNumberFormat="1" applyFont="1" applyAlignment="1" applyProtection="1">
      <alignment horizontal="left"/>
      <protection locked="0" hidden="1"/>
    </xf>
    <xf numFmtId="4" fontId="21" fillId="0" borderId="0" xfId="0" applyNumberFormat="1" applyFont="1" applyProtection="1">
      <protection locked="0" hidden="1"/>
    </xf>
    <xf numFmtId="171" fontId="21" fillId="0" borderId="0" xfId="0" applyNumberFormat="1" applyFont="1" applyProtection="1">
      <protection locked="0" hidden="1"/>
    </xf>
    <xf numFmtId="2" fontId="21" fillId="0" borderId="0" xfId="0" applyNumberFormat="1" applyFont="1" applyProtection="1">
      <protection locked="0" hidden="1"/>
    </xf>
    <xf numFmtId="165" fontId="21" fillId="2" borderId="7" xfId="1" applyNumberFormat="1" applyFont="1" applyFill="1" applyBorder="1" applyAlignment="1" applyProtection="1">
      <protection hidden="1"/>
    </xf>
    <xf numFmtId="0" fontId="12" fillId="0" borderId="35" xfId="3" applyFont="1" applyBorder="1" applyAlignment="1" applyProtection="1">
      <alignment horizontal="left"/>
      <protection locked="0" hidden="1"/>
    </xf>
    <xf numFmtId="0" fontId="51" fillId="0" borderId="0" xfId="0" applyFont="1" applyProtection="1">
      <protection locked="0" hidden="1"/>
    </xf>
    <xf numFmtId="3" fontId="10" fillId="0" borderId="0" xfId="1" applyNumberFormat="1" applyFont="1" applyFill="1" applyBorder="1" applyAlignment="1" applyProtection="1">
      <protection hidden="1"/>
    </xf>
    <xf numFmtId="164" fontId="55" fillId="0" borderId="0" xfId="1" applyNumberFormat="1" applyFont="1" applyFill="1" applyBorder="1" applyAlignment="1" applyProtection="1">
      <alignment horizontal="center"/>
      <protection hidden="1"/>
    </xf>
    <xf numFmtId="0" fontId="19" fillId="0" borderId="0" xfId="0" applyFont="1" applyProtection="1">
      <protection locked="0"/>
    </xf>
    <xf numFmtId="0" fontId="21" fillId="0" borderId="0" xfId="0" applyFont="1" applyProtection="1">
      <protection locked="0"/>
    </xf>
    <xf numFmtId="0" fontId="26" fillId="3" borderId="33" xfId="3" applyFont="1" applyFill="1" applyBorder="1" applyAlignment="1" applyProtection="1">
      <alignment horizontal="center"/>
      <protection locked="0"/>
    </xf>
    <xf numFmtId="0" fontId="26" fillId="3" borderId="33" xfId="0" applyFont="1" applyFill="1" applyBorder="1" applyAlignment="1" applyProtection="1">
      <alignment horizontal="center"/>
      <protection locked="0"/>
    </xf>
    <xf numFmtId="4" fontId="49" fillId="0" borderId="1" xfId="4" applyNumberFormat="1" applyFont="1" applyBorder="1" applyAlignment="1" applyProtection="1">
      <alignment horizontal="right" wrapText="1"/>
      <protection locked="0"/>
    </xf>
    <xf numFmtId="0" fontId="21" fillId="0" borderId="0" xfId="0" applyFont="1" applyAlignment="1" applyProtection="1">
      <alignment horizontal="center"/>
      <protection locked="0"/>
    </xf>
    <xf numFmtId="3" fontId="49" fillId="0" borderId="1" xfId="4" applyNumberFormat="1" applyFont="1" applyBorder="1" applyAlignment="1" applyProtection="1">
      <alignment horizontal="right" wrapText="1"/>
      <protection locked="0"/>
    </xf>
    <xf numFmtId="0" fontId="49" fillId="0" borderId="1" xfId="4" applyFont="1" applyBorder="1" applyAlignment="1" applyProtection="1">
      <alignment horizontal="right" wrapText="1"/>
      <protection locked="0"/>
    </xf>
    <xf numFmtId="171" fontId="21" fillId="0" borderId="0" xfId="0" applyNumberFormat="1" applyFont="1" applyProtection="1">
      <protection locked="0"/>
    </xf>
    <xf numFmtId="171" fontId="49" fillId="0" borderId="0" xfId="0" applyNumberFormat="1" applyFont="1" applyProtection="1">
      <protection locked="0"/>
    </xf>
    <xf numFmtId="3" fontId="49" fillId="0" borderId="1" xfId="4" applyNumberFormat="1" applyFont="1" applyBorder="1" applyAlignment="1" applyProtection="1">
      <alignment horizontal="center" wrapText="1"/>
      <protection locked="0"/>
    </xf>
    <xf numFmtId="0" fontId="15" fillId="0" borderId="0" xfId="4" applyFont="1" applyAlignment="1" applyProtection="1">
      <alignment horizontal="center"/>
      <protection locked="0"/>
    </xf>
    <xf numFmtId="171" fontId="15" fillId="0" borderId="37" xfId="4" applyNumberFormat="1" applyFont="1" applyBorder="1" applyAlignment="1" applyProtection="1">
      <alignment horizontal="right" wrapText="1"/>
      <protection locked="0"/>
    </xf>
    <xf numFmtId="173" fontId="15" fillId="0" borderId="37" xfId="4" applyNumberFormat="1" applyFont="1" applyBorder="1" applyAlignment="1" applyProtection="1">
      <alignment horizontal="center" wrapText="1"/>
      <protection locked="0"/>
    </xf>
    <xf numFmtId="4" fontId="15" fillId="0" borderId="37" xfId="4" applyNumberFormat="1" applyFont="1" applyBorder="1" applyAlignment="1" applyProtection="1">
      <alignment horizontal="right" wrapText="1"/>
      <protection locked="0"/>
    </xf>
    <xf numFmtId="0" fontId="26" fillId="3" borderId="33" xfId="2" applyFont="1" applyFill="1" applyBorder="1" applyAlignment="1" applyProtection="1">
      <alignment horizontal="center"/>
      <protection locked="0"/>
    </xf>
    <xf numFmtId="171" fontId="26" fillId="3" borderId="33" xfId="0" applyNumberFormat="1" applyFont="1" applyFill="1" applyBorder="1" applyAlignment="1" applyProtection="1">
      <alignment horizontal="center"/>
      <protection locked="0"/>
    </xf>
    <xf numFmtId="171" fontId="15" fillId="0" borderId="38" xfId="4" applyNumberFormat="1" applyFont="1" applyBorder="1" applyAlignment="1" applyProtection="1">
      <alignment horizontal="right" wrapText="1"/>
      <protection locked="0"/>
    </xf>
    <xf numFmtId="0" fontId="23" fillId="0" borderId="0" xfId="0" applyFont="1" applyAlignment="1" applyProtection="1">
      <alignment horizontal="center"/>
      <protection locked="0"/>
    </xf>
    <xf numFmtId="0" fontId="15" fillId="0" borderId="1" xfId="2" applyFont="1" applyBorder="1" applyAlignment="1" applyProtection="1">
      <alignment horizontal="left"/>
      <protection locked="0"/>
    </xf>
    <xf numFmtId="0" fontId="26" fillId="0" borderId="0" xfId="0" applyFont="1" applyAlignment="1" applyProtection="1">
      <alignment horizontal="center"/>
      <protection locked="0"/>
    </xf>
    <xf numFmtId="173" fontId="15" fillId="0" borderId="34" xfId="4" applyNumberFormat="1" applyFont="1" applyBorder="1" applyAlignment="1" applyProtection="1">
      <alignment horizontal="right" wrapText="1"/>
      <protection locked="0"/>
    </xf>
    <xf numFmtId="3" fontId="15" fillId="0" borderId="0" xfId="3" applyNumberFormat="1" applyFont="1" applyAlignment="1" applyProtection="1">
      <alignment horizontal="center"/>
      <protection locked="0"/>
    </xf>
    <xf numFmtId="173" fontId="15" fillId="0" borderId="1" xfId="4" applyNumberFormat="1" applyFont="1" applyBorder="1" applyAlignment="1" applyProtection="1">
      <alignment horizontal="right" wrapText="1"/>
      <protection locked="0"/>
    </xf>
    <xf numFmtId="171" fontId="15" fillId="0" borderId="0" xfId="4" applyNumberFormat="1" applyFont="1" applyAlignment="1" applyProtection="1">
      <alignment horizontal="center"/>
      <protection locked="0"/>
    </xf>
    <xf numFmtId="0" fontId="15" fillId="0" borderId="0" xfId="3" applyFont="1" applyAlignment="1" applyProtection="1">
      <alignment horizontal="center"/>
      <protection locked="0"/>
    </xf>
    <xf numFmtId="1" fontId="15" fillId="0" borderId="0" xfId="3" applyNumberFormat="1" applyFont="1" applyAlignment="1" applyProtection="1">
      <alignment horizontal="center"/>
      <protection locked="0"/>
    </xf>
    <xf numFmtId="4" fontId="15" fillId="0" borderId="0" xfId="3" applyNumberFormat="1" applyFont="1" applyAlignment="1" applyProtection="1">
      <alignment horizontal="center"/>
      <protection locked="0"/>
    </xf>
    <xf numFmtId="1" fontId="15" fillId="0" borderId="34" xfId="3" applyNumberFormat="1" applyFont="1" applyBorder="1" applyAlignment="1" applyProtection="1">
      <alignment horizontal="center"/>
      <protection locked="0"/>
    </xf>
    <xf numFmtId="4" fontId="15" fillId="0" borderId="34" xfId="3" applyNumberFormat="1" applyFont="1" applyBorder="1" applyAlignment="1" applyProtection="1">
      <alignment horizontal="center"/>
      <protection locked="0"/>
    </xf>
    <xf numFmtId="1" fontId="15" fillId="0" borderId="1" xfId="3" applyNumberFormat="1" applyFont="1" applyBorder="1" applyAlignment="1" applyProtection="1">
      <alignment horizontal="center"/>
      <protection locked="0"/>
    </xf>
    <xf numFmtId="4" fontId="15" fillId="0" borderId="1" xfId="3" applyNumberFormat="1" applyFont="1" applyBorder="1" applyAlignment="1" applyProtection="1">
      <alignment horizontal="center"/>
      <protection locked="0"/>
    </xf>
    <xf numFmtId="3" fontId="15" fillId="0" borderId="1" xfId="3" applyNumberFormat="1" applyFont="1" applyBorder="1" applyAlignment="1" applyProtection="1">
      <alignment horizontal="right"/>
      <protection locked="0"/>
    </xf>
    <xf numFmtId="0" fontId="15" fillId="0" borderId="1" xfId="3" applyFont="1" applyBorder="1" applyAlignment="1" applyProtection="1">
      <alignment horizontal="left"/>
      <protection locked="0"/>
    </xf>
    <xf numFmtId="1" fontId="15" fillId="0" borderId="35" xfId="3" applyNumberFormat="1" applyFont="1" applyBorder="1" applyAlignment="1" applyProtection="1">
      <alignment horizontal="center"/>
      <protection locked="0"/>
    </xf>
    <xf numFmtId="0" fontId="15" fillId="0" borderId="35" xfId="3" applyFont="1" applyBorder="1" applyAlignment="1" applyProtection="1">
      <alignment horizontal="left"/>
      <protection locked="0"/>
    </xf>
    <xf numFmtId="1" fontId="21" fillId="0" borderId="0" xfId="0" applyNumberFormat="1" applyFont="1" applyAlignment="1" applyProtection="1">
      <alignment horizontal="center"/>
      <protection locked="0"/>
    </xf>
    <xf numFmtId="2" fontId="29" fillId="0" borderId="0" xfId="0" applyNumberFormat="1" applyFont="1" applyAlignment="1" applyProtection="1">
      <alignment horizontal="center"/>
      <protection locked="0"/>
    </xf>
    <xf numFmtId="4" fontId="15" fillId="0" borderId="0" xfId="4" applyNumberFormat="1" applyFont="1" applyAlignment="1" applyProtection="1">
      <alignment horizontal="right" wrapText="1"/>
      <protection locked="0"/>
    </xf>
    <xf numFmtId="14" fontId="15" fillId="0" borderId="0" xfId="4" applyNumberFormat="1" applyFont="1" applyAlignment="1" applyProtection="1">
      <alignment horizontal="right" wrapText="1"/>
      <protection locked="0"/>
    </xf>
    <xf numFmtId="0" fontId="26" fillId="0" borderId="0" xfId="4" applyFont="1" applyAlignment="1" applyProtection="1">
      <alignment horizontal="left"/>
      <protection locked="0"/>
    </xf>
    <xf numFmtId="0" fontId="56" fillId="0" borderId="0" xfId="0" applyFont="1" applyProtection="1">
      <protection locked="0"/>
    </xf>
    <xf numFmtId="0" fontId="0" fillId="0" borderId="0" xfId="0" applyProtection="1">
      <protection locked="0"/>
    </xf>
    <xf numFmtId="0" fontId="58" fillId="0" borderId="0" xfId="0" applyFont="1" applyProtection="1">
      <protection locked="0"/>
    </xf>
    <xf numFmtId="4" fontId="15" fillId="0" borderId="0" xfId="3" applyNumberFormat="1" applyFont="1" applyAlignment="1" applyProtection="1">
      <alignment horizontal="right"/>
      <protection locked="0"/>
    </xf>
    <xf numFmtId="0" fontId="15" fillId="0" borderId="0" xfId="3" applyFont="1" applyAlignment="1" applyProtection="1">
      <alignment horizontal="left"/>
      <protection locked="0"/>
    </xf>
    <xf numFmtId="0" fontId="15" fillId="0" borderId="0" xfId="3" applyFont="1" applyAlignment="1" applyProtection="1">
      <alignment horizontal="right"/>
      <protection locked="0"/>
    </xf>
    <xf numFmtId="0" fontId="15" fillId="4" borderId="1" xfId="3" applyFont="1" applyFill="1" applyBorder="1" applyAlignment="1" applyProtection="1">
      <alignment horizontal="left"/>
      <protection locked="0" hidden="1"/>
    </xf>
    <xf numFmtId="0" fontId="49" fillId="4" borderId="1" xfId="3" applyFont="1" applyFill="1" applyBorder="1" applyAlignment="1" applyProtection="1">
      <alignment horizontal="left"/>
      <protection locked="0"/>
    </xf>
    <xf numFmtId="0" fontId="39" fillId="0" borderId="0" xfId="0" applyFont="1" applyProtection="1">
      <protection hidden="1"/>
    </xf>
    <xf numFmtId="0" fontId="5" fillId="0" borderId="0" xfId="0" applyFont="1" applyProtection="1">
      <protection locked="0"/>
    </xf>
    <xf numFmtId="175" fontId="21" fillId="2" borderId="39" xfId="0" applyNumberFormat="1" applyFont="1" applyFill="1" applyBorder="1" applyAlignment="1" applyProtection="1">
      <alignment horizontal="center"/>
      <protection hidden="1"/>
    </xf>
    <xf numFmtId="0" fontId="44" fillId="0" borderId="0" xfId="0" applyFont="1" applyProtection="1">
      <protection hidden="1"/>
    </xf>
    <xf numFmtId="0" fontId="6" fillId="3" borderId="33" xfId="0" applyFont="1" applyFill="1" applyBorder="1" applyAlignment="1" applyProtection="1">
      <alignment horizontal="center"/>
      <protection locked="0"/>
    </xf>
    <xf numFmtId="171" fontId="5" fillId="0" borderId="0" xfId="0" applyNumberFormat="1" applyFont="1" applyProtection="1">
      <protection locked="0"/>
    </xf>
    <xf numFmtId="0" fontId="8" fillId="0" borderId="0" xfId="0" applyFont="1" applyProtection="1">
      <protection hidden="1"/>
    </xf>
    <xf numFmtId="0" fontId="14" fillId="0" borderId="0" xfId="0" applyFont="1" applyProtection="1">
      <protection locked="0" hidden="1"/>
    </xf>
    <xf numFmtId="0" fontId="26" fillId="5" borderId="0" xfId="4" applyFont="1" applyFill="1" applyAlignment="1" applyProtection="1">
      <alignment horizontal="left"/>
      <protection locked="0"/>
    </xf>
    <xf numFmtId="0" fontId="15" fillId="5" borderId="0" xfId="4" applyFont="1" applyFill="1" applyAlignment="1" applyProtection="1">
      <alignment horizontal="center"/>
      <protection locked="0"/>
    </xf>
    <xf numFmtId="0" fontId="6" fillId="0" borderId="0" xfId="4" applyFont="1" applyAlignment="1" applyProtection="1">
      <alignment horizontal="left"/>
      <protection locked="0"/>
    </xf>
    <xf numFmtId="168" fontId="15" fillId="0" borderId="0" xfId="4" applyNumberFormat="1" applyFont="1" applyAlignment="1" applyProtection="1">
      <alignment horizontal="center"/>
      <protection locked="0"/>
    </xf>
    <xf numFmtId="168" fontId="21" fillId="0" borderId="0" xfId="0" applyNumberFormat="1" applyFont="1" applyAlignment="1" applyProtection="1">
      <alignment horizontal="center"/>
      <protection locked="0" hidden="1"/>
    </xf>
    <xf numFmtId="168" fontId="11" fillId="0" borderId="40" xfId="1" applyNumberFormat="1" applyFont="1" applyFill="1" applyBorder="1" applyAlignment="1" applyProtection="1">
      <alignment horizontal="center"/>
      <protection hidden="1"/>
    </xf>
    <xf numFmtId="168" fontId="11" fillId="0" borderId="41" xfId="1" applyNumberFormat="1" applyFont="1" applyBorder="1" applyAlignment="1" applyProtection="1">
      <alignment horizontal="center"/>
      <protection hidden="1"/>
    </xf>
    <xf numFmtId="168" fontId="11" fillId="0" borderId="42" xfId="1" applyNumberFormat="1" applyFont="1" applyBorder="1" applyAlignment="1" applyProtection="1">
      <alignment horizontal="center"/>
      <protection hidden="1"/>
    </xf>
    <xf numFmtId="168" fontId="11" fillId="0" borderId="43" xfId="1" applyNumberFormat="1" applyFont="1" applyBorder="1" applyAlignment="1" applyProtection="1">
      <alignment horizontal="center"/>
      <protection hidden="1"/>
    </xf>
    <xf numFmtId="0" fontId="14" fillId="5" borderId="0" xfId="0" applyFont="1" applyFill="1" applyProtection="1">
      <protection locked="0"/>
    </xf>
    <xf numFmtId="0" fontId="6" fillId="0" borderId="0" xfId="0" applyFont="1" applyAlignment="1" applyProtection="1">
      <alignment horizontal="left"/>
      <protection locked="0" hidden="1"/>
    </xf>
    <xf numFmtId="0" fontId="49" fillId="6" borderId="1" xfId="3" applyFont="1" applyFill="1" applyBorder="1" applyAlignment="1" applyProtection="1">
      <alignment horizontal="left"/>
      <protection locked="0"/>
    </xf>
    <xf numFmtId="0" fontId="21" fillId="6" borderId="0" xfId="0" applyFont="1" applyFill="1" applyProtection="1">
      <protection locked="0"/>
    </xf>
    <xf numFmtId="4" fontId="49" fillId="6" borderId="1" xfId="4" applyNumberFormat="1" applyFont="1" applyFill="1" applyBorder="1" applyAlignment="1" applyProtection="1">
      <alignment horizontal="right" wrapText="1"/>
      <protection locked="0"/>
    </xf>
    <xf numFmtId="0" fontId="21" fillId="6" borderId="0" xfId="0" applyFont="1" applyFill="1" applyAlignment="1" applyProtection="1">
      <alignment horizontal="center"/>
      <protection locked="0"/>
    </xf>
    <xf numFmtId="3" fontId="49" fillId="6" borderId="1" xfId="4" applyNumberFormat="1" applyFont="1" applyFill="1" applyBorder="1" applyAlignment="1" applyProtection="1">
      <alignment horizontal="right" wrapText="1"/>
      <protection locked="0"/>
    </xf>
    <xf numFmtId="0" fontId="49" fillId="6" borderId="1" xfId="4" applyFont="1" applyFill="1" applyBorder="1" applyAlignment="1" applyProtection="1">
      <alignment horizontal="right" wrapText="1"/>
      <protection locked="0"/>
    </xf>
    <xf numFmtId="171" fontId="21" fillId="6" borderId="0" xfId="0" applyNumberFormat="1" applyFont="1" applyFill="1" applyProtection="1">
      <protection locked="0"/>
    </xf>
    <xf numFmtId="171" fontId="49" fillId="6" borderId="0" xfId="0" applyNumberFormat="1" applyFont="1" applyFill="1" applyProtection="1">
      <protection locked="0"/>
    </xf>
    <xf numFmtId="171" fontId="5" fillId="6" borderId="0" xfId="0" applyNumberFormat="1" applyFont="1" applyFill="1" applyProtection="1">
      <protection locked="0"/>
    </xf>
    <xf numFmtId="171" fontId="15" fillId="6" borderId="0" xfId="4" applyNumberFormat="1" applyFont="1" applyFill="1" applyAlignment="1" applyProtection="1">
      <alignment horizontal="center"/>
      <protection locked="0"/>
    </xf>
    <xf numFmtId="0" fontId="15" fillId="6" borderId="0" xfId="4" applyFont="1" applyFill="1" applyAlignment="1" applyProtection="1">
      <alignment horizontal="center"/>
      <protection locked="0"/>
    </xf>
    <xf numFmtId="0" fontId="5" fillId="0" borderId="0" xfId="0" applyFont="1" applyAlignment="1" applyProtection="1">
      <alignment horizontal="center"/>
      <protection locked="0" hidden="1"/>
    </xf>
    <xf numFmtId="0" fontId="82" fillId="0" borderId="0" xfId="0" applyFont="1" applyAlignment="1">
      <alignment vertical="center"/>
    </xf>
    <xf numFmtId="4" fontId="83" fillId="0" borderId="0" xfId="0" applyNumberFormat="1" applyFont="1" applyAlignment="1">
      <alignment vertical="center"/>
    </xf>
    <xf numFmtId="4" fontId="82" fillId="0" borderId="0" xfId="0" applyNumberFormat="1" applyFont="1" applyAlignment="1">
      <alignment vertical="center"/>
    </xf>
    <xf numFmtId="0" fontId="82" fillId="0" borderId="0" xfId="0" applyFont="1" applyAlignment="1">
      <alignment horizontal="center" vertical="center"/>
    </xf>
    <xf numFmtId="40" fontId="83" fillId="0" borderId="0" xfId="1" applyFont="1" applyAlignment="1">
      <alignment vertical="center"/>
    </xf>
    <xf numFmtId="0" fontId="83" fillId="0" borderId="0" xfId="0" applyFont="1" applyAlignment="1">
      <alignment vertical="center"/>
    </xf>
    <xf numFmtId="0" fontId="84" fillId="0" borderId="44" xfId="0" applyFont="1" applyBorder="1" applyAlignment="1">
      <alignment vertical="center"/>
    </xf>
    <xf numFmtId="0" fontId="84" fillId="0" borderId="45" xfId="0" applyFont="1" applyBorder="1" applyAlignment="1">
      <alignment vertical="center"/>
    </xf>
    <xf numFmtId="0" fontId="85" fillId="0" borderId="46" xfId="0" applyFont="1" applyBorder="1" applyAlignment="1">
      <alignment horizontal="center" vertical="center"/>
    </xf>
    <xf numFmtId="0" fontId="82" fillId="0" borderId="46" xfId="0" applyFont="1" applyBorder="1" applyAlignment="1">
      <alignment vertical="center"/>
    </xf>
    <xf numFmtId="0" fontId="82" fillId="0" borderId="46" xfId="0" applyFont="1" applyBorder="1" applyAlignment="1">
      <alignment horizontal="center" vertical="center"/>
    </xf>
    <xf numFmtId="1" fontId="82" fillId="0" borderId="46" xfId="0" applyNumberFormat="1" applyFont="1" applyBorder="1" applyAlignment="1">
      <alignment horizontal="center" vertical="center"/>
    </xf>
    <xf numFmtId="1" fontId="82" fillId="0" borderId="0" xfId="0" applyNumberFormat="1" applyFont="1" applyAlignment="1">
      <alignment horizontal="center" vertical="center"/>
    </xf>
    <xf numFmtId="0" fontId="83" fillId="0" borderId="46" xfId="0" applyFont="1" applyBorder="1" applyAlignment="1">
      <alignment vertical="center"/>
    </xf>
    <xf numFmtId="168" fontId="86" fillId="7" borderId="46" xfId="0" applyNumberFormat="1" applyFont="1" applyFill="1" applyBorder="1" applyAlignment="1" applyProtection="1">
      <alignment horizontal="center" vertical="center"/>
      <protection locked="0"/>
    </xf>
    <xf numFmtId="0" fontId="87" fillId="0" borderId="0" xfId="0" applyFont="1" applyAlignment="1">
      <alignment vertical="center"/>
    </xf>
    <xf numFmtId="4" fontId="88" fillId="0" borderId="0" xfId="0" applyNumberFormat="1" applyFont="1" applyAlignment="1">
      <alignment vertical="center"/>
    </xf>
    <xf numFmtId="168" fontId="86" fillId="0" borderId="46" xfId="0" applyNumberFormat="1" applyFont="1" applyBorder="1" applyAlignment="1">
      <alignment horizontal="center" vertical="center"/>
    </xf>
    <xf numFmtId="2" fontId="82" fillId="0" borderId="46" xfId="0" applyNumberFormat="1" applyFont="1" applyBorder="1" applyAlignment="1">
      <alignment horizontal="center" vertical="center"/>
    </xf>
    <xf numFmtId="170" fontId="82" fillId="0" borderId="46" xfId="0" applyNumberFormat="1" applyFont="1" applyBorder="1" applyAlignment="1">
      <alignment horizontal="right" vertical="center"/>
    </xf>
    <xf numFmtId="2" fontId="82" fillId="7" borderId="46" xfId="0" applyNumberFormat="1" applyFont="1" applyFill="1" applyBorder="1" applyAlignment="1" applyProtection="1">
      <alignment horizontal="center" vertical="center"/>
      <protection locked="0"/>
    </xf>
    <xf numFmtId="0" fontId="83" fillId="0" borderId="46" xfId="0" applyFont="1" applyBorder="1" applyAlignment="1">
      <alignment horizontal="left" vertical="center"/>
    </xf>
    <xf numFmtId="170" fontId="82" fillId="0" borderId="0" xfId="0" applyNumberFormat="1" applyFont="1" applyAlignment="1">
      <alignment horizontal="right" vertical="center"/>
    </xf>
    <xf numFmtId="170" fontId="82" fillId="7" borderId="46" xfId="0" applyNumberFormat="1" applyFont="1" applyFill="1" applyBorder="1" applyAlignment="1" applyProtection="1">
      <alignment horizontal="center" vertical="center"/>
      <protection locked="0"/>
    </xf>
    <xf numFmtId="170" fontId="82" fillId="0" borderId="46" xfId="0" applyNumberFormat="1" applyFont="1" applyBorder="1" applyAlignment="1">
      <alignment vertical="center"/>
    </xf>
    <xf numFmtId="170" fontId="82" fillId="0" borderId="47" xfId="0" applyNumberFormat="1" applyFont="1" applyBorder="1" applyAlignment="1">
      <alignment horizontal="right" vertical="center"/>
    </xf>
    <xf numFmtId="0" fontId="82" fillId="0" borderId="0" xfId="0" applyFont="1" applyAlignment="1" applyProtection="1">
      <alignment horizontal="center" vertical="center"/>
      <protection locked="0"/>
    </xf>
    <xf numFmtId="0" fontId="83" fillId="0" borderId="0" xfId="0" applyFont="1" applyAlignment="1">
      <alignment horizontal="center" vertical="center"/>
    </xf>
    <xf numFmtId="168" fontId="89" fillId="0" borderId="0" xfId="0" applyNumberFormat="1" applyFont="1" applyAlignment="1">
      <alignment vertical="center"/>
    </xf>
    <xf numFmtId="1" fontId="86" fillId="7" borderId="46" xfId="0" applyNumberFormat="1" applyFont="1" applyFill="1" applyBorder="1" applyAlignment="1" applyProtection="1">
      <alignment horizontal="center" vertical="center"/>
      <protection locked="0"/>
    </xf>
    <xf numFmtId="167" fontId="86" fillId="0" borderId="46" xfId="0" applyNumberFormat="1" applyFont="1" applyBorder="1" applyAlignment="1" applyProtection="1">
      <alignment horizontal="center" vertical="center"/>
      <protection locked="0"/>
    </xf>
    <xf numFmtId="0" fontId="82" fillId="7" borderId="46" xfId="0" applyFont="1" applyFill="1" applyBorder="1" applyAlignment="1" applyProtection="1">
      <alignment horizontal="center" vertical="center"/>
      <protection locked="0"/>
    </xf>
    <xf numFmtId="0" fontId="83" fillId="0" borderId="46" xfId="0" applyFont="1" applyBorder="1" applyAlignment="1">
      <alignment horizontal="center" vertical="center"/>
    </xf>
    <xf numFmtId="0" fontId="90" fillId="0" borderId="46" xfId="0" applyFont="1" applyBorder="1" applyAlignment="1">
      <alignment horizontal="left" vertical="center"/>
    </xf>
    <xf numFmtId="170" fontId="82" fillId="0" borderId="44" xfId="0" quotePrefix="1" applyNumberFormat="1" applyFont="1" applyBorder="1" applyAlignment="1">
      <alignment vertical="center"/>
    </xf>
    <xf numFmtId="170" fontId="82" fillId="0" borderId="45" xfId="0" applyNumberFormat="1" applyFont="1" applyBorder="1" applyAlignment="1">
      <alignment vertical="center"/>
    </xf>
    <xf numFmtId="170" fontId="82" fillId="0" borderId="48" xfId="0" applyNumberFormat="1" applyFont="1" applyBorder="1" applyAlignment="1">
      <alignment vertical="center"/>
    </xf>
    <xf numFmtId="170" fontId="91" fillId="0" borderId="46" xfId="0" quotePrefix="1" applyNumberFormat="1" applyFont="1" applyBorder="1" applyAlignment="1">
      <alignment horizontal="right" vertical="center"/>
    </xf>
    <xf numFmtId="3" fontId="82" fillId="0" borderId="0" xfId="0" applyNumberFormat="1" applyFont="1" applyAlignment="1">
      <alignment horizontal="center" vertical="center"/>
    </xf>
    <xf numFmtId="3" fontId="92" fillId="0" borderId="0" xfId="0" applyNumberFormat="1" applyFont="1" applyAlignment="1">
      <alignment horizontal="center" vertical="center"/>
    </xf>
    <xf numFmtId="0" fontId="92" fillId="0" borderId="47" xfId="0" applyFont="1" applyBorder="1" applyAlignment="1">
      <alignment horizontal="center" vertical="center"/>
    </xf>
    <xf numFmtId="3" fontId="92" fillId="0" borderId="49" xfId="0" applyNumberFormat="1" applyFont="1" applyBorder="1" applyAlignment="1">
      <alignment horizontal="center" vertical="center"/>
    </xf>
    <xf numFmtId="3" fontId="84" fillId="0" borderId="46" xfId="0" applyNumberFormat="1" applyFont="1" applyBorder="1" applyAlignment="1">
      <alignment horizontal="center" vertical="center"/>
    </xf>
    <xf numFmtId="4" fontId="84" fillId="8" borderId="47" xfId="0" applyNumberFormat="1" applyFont="1" applyFill="1" applyBorder="1" applyAlignment="1">
      <alignment horizontal="center" vertical="center"/>
    </xf>
    <xf numFmtId="40" fontId="84" fillId="8" borderId="47" xfId="1" applyFont="1" applyFill="1" applyBorder="1" applyAlignment="1">
      <alignment horizontal="center" vertical="center"/>
    </xf>
    <xf numFmtId="40" fontId="84" fillId="9" borderId="47" xfId="1" applyFont="1" applyFill="1" applyBorder="1" applyAlignment="1">
      <alignment horizontal="center" vertical="center"/>
    </xf>
    <xf numFmtId="4" fontId="84" fillId="0" borderId="47" xfId="0" applyNumberFormat="1" applyFont="1" applyBorder="1" applyAlignment="1">
      <alignment horizontal="center" vertical="center"/>
    </xf>
    <xf numFmtId="4" fontId="92" fillId="0" borderId="47" xfId="0" applyNumberFormat="1" applyFont="1" applyBorder="1" applyAlignment="1">
      <alignment horizontal="center" vertical="center"/>
    </xf>
    <xf numFmtId="0" fontId="84" fillId="0" borderId="47" xfId="0" applyFont="1" applyBorder="1" applyAlignment="1">
      <alignment horizontal="center" vertical="center"/>
    </xf>
    <xf numFmtId="0" fontId="92" fillId="0" borderId="0" xfId="0" applyFont="1" applyAlignment="1">
      <alignment horizontal="center" vertical="center"/>
    </xf>
    <xf numFmtId="0" fontId="84" fillId="10" borderId="47" xfId="0" applyFont="1" applyFill="1" applyBorder="1" applyAlignment="1">
      <alignment horizontal="center" vertical="center"/>
    </xf>
    <xf numFmtId="0" fontId="92" fillId="0" borderId="0" xfId="0" applyFont="1" applyAlignment="1">
      <alignment vertical="center"/>
    </xf>
    <xf numFmtId="0" fontId="84" fillId="0" borderId="49" xfId="0" applyFont="1" applyBorder="1" applyAlignment="1">
      <alignment horizontal="center" vertical="center"/>
    </xf>
    <xf numFmtId="4" fontId="92" fillId="0" borderId="0" xfId="0" applyNumberFormat="1" applyFont="1" applyAlignment="1">
      <alignment vertical="center"/>
    </xf>
    <xf numFmtId="40" fontId="84" fillId="0" borderId="47" xfId="1" applyFont="1" applyFill="1" applyBorder="1" applyAlignment="1">
      <alignment horizontal="center" vertical="center"/>
    </xf>
    <xf numFmtId="0" fontId="83" fillId="0" borderId="50" xfId="0" applyFont="1" applyBorder="1" applyAlignment="1">
      <alignment vertical="center"/>
    </xf>
    <xf numFmtId="0" fontId="92" fillId="0" borderId="50" xfId="0" applyFont="1" applyBorder="1" applyAlignment="1">
      <alignment horizontal="center" vertical="center"/>
    </xf>
    <xf numFmtId="3" fontId="82" fillId="0" borderId="50" xfId="0" applyNumberFormat="1" applyFont="1" applyBorder="1" applyAlignment="1">
      <alignment horizontal="center" vertical="center"/>
    </xf>
    <xf numFmtId="3" fontId="82" fillId="0" borderId="46" xfId="0" applyNumberFormat="1" applyFont="1" applyBorder="1" applyAlignment="1">
      <alignment horizontal="center" vertical="center"/>
    </xf>
    <xf numFmtId="4" fontId="83" fillId="8" borderId="50" xfId="0" applyNumberFormat="1" applyFont="1" applyFill="1" applyBorder="1" applyAlignment="1">
      <alignment horizontal="center" vertical="center"/>
    </xf>
    <xf numFmtId="4" fontId="83" fillId="9" borderId="50" xfId="0" applyNumberFormat="1" applyFont="1" applyFill="1" applyBorder="1" applyAlignment="1">
      <alignment horizontal="center" vertical="center"/>
    </xf>
    <xf numFmtId="4" fontId="83" fillId="0" borderId="50" xfId="0" applyNumberFormat="1" applyFont="1" applyBorder="1" applyAlignment="1">
      <alignment horizontal="center" vertical="center"/>
    </xf>
    <xf numFmtId="0" fontId="83" fillId="0" borderId="50" xfId="0" applyFont="1" applyBorder="1" applyAlignment="1">
      <alignment horizontal="center" vertical="center"/>
    </xf>
    <xf numFmtId="0" fontId="82" fillId="0" borderId="50" xfId="0" applyFont="1" applyBorder="1" applyAlignment="1">
      <alignment horizontal="center" vertical="center"/>
    </xf>
    <xf numFmtId="0" fontId="84" fillId="0" borderId="50" xfId="0" applyFont="1" applyBorder="1" applyAlignment="1">
      <alignment horizontal="center" vertical="center"/>
    </xf>
    <xf numFmtId="0" fontId="82" fillId="10" borderId="50" xfId="0" applyFont="1" applyFill="1" applyBorder="1" applyAlignment="1">
      <alignment horizontal="center" vertical="center"/>
    </xf>
    <xf numFmtId="0" fontId="83" fillId="10" borderId="50" xfId="0" applyFont="1" applyFill="1" applyBorder="1" applyAlignment="1">
      <alignment horizontal="center" vertical="center"/>
    </xf>
    <xf numFmtId="0" fontId="5" fillId="7" borderId="46" xfId="0" applyFont="1" applyFill="1" applyBorder="1" applyAlignment="1" applyProtection="1">
      <alignment vertical="center"/>
      <protection locked="0"/>
    </xf>
    <xf numFmtId="0" fontId="17" fillId="7" borderId="46" xfId="0" applyFont="1" applyFill="1" applyBorder="1" applyAlignment="1" applyProtection="1">
      <alignment horizontal="center" vertical="center"/>
      <protection locked="0"/>
    </xf>
    <xf numFmtId="3" fontId="17" fillId="7" borderId="46" xfId="0" applyNumberFormat="1" applyFont="1" applyFill="1" applyBorder="1" applyAlignment="1" applyProtection="1">
      <alignment vertical="center"/>
      <protection locked="0"/>
    </xf>
    <xf numFmtId="1" fontId="17" fillId="7" borderId="46" xfId="0" applyNumberFormat="1" applyFont="1" applyFill="1" applyBorder="1" applyAlignment="1" applyProtection="1">
      <alignment vertical="center"/>
      <protection locked="0"/>
    </xf>
    <xf numFmtId="4" fontId="17" fillId="7" borderId="46" xfId="0" applyNumberFormat="1" applyFont="1" applyFill="1" applyBorder="1" applyAlignment="1" applyProtection="1">
      <alignment vertical="center"/>
      <protection locked="0"/>
    </xf>
    <xf numFmtId="164" fontId="17" fillId="7" borderId="46" xfId="0" applyNumberFormat="1" applyFont="1" applyFill="1" applyBorder="1" applyAlignment="1" applyProtection="1">
      <alignment vertical="center"/>
      <protection locked="0"/>
    </xf>
    <xf numFmtId="4" fontId="5" fillId="0" borderId="0" xfId="0" applyNumberFormat="1" applyFont="1" applyAlignment="1" applyProtection="1">
      <alignment vertical="center"/>
      <protection locked="0"/>
    </xf>
    <xf numFmtId="3" fontId="17" fillId="11" borderId="46" xfId="0" applyNumberFormat="1" applyFont="1" applyFill="1" applyBorder="1" applyAlignment="1" applyProtection="1">
      <alignment horizontal="center" vertical="center"/>
      <protection locked="0"/>
    </xf>
    <xf numFmtId="3" fontId="17" fillId="12" borderId="46" xfId="0" applyNumberFormat="1" applyFont="1" applyFill="1" applyBorder="1" applyAlignment="1" applyProtection="1">
      <alignment vertical="center"/>
      <protection locked="0"/>
    </xf>
    <xf numFmtId="3" fontId="92" fillId="0" borderId="0" xfId="0" applyNumberFormat="1" applyFont="1" applyAlignment="1" applyProtection="1">
      <alignment horizontal="center" vertical="center"/>
      <protection locked="0"/>
    </xf>
    <xf numFmtId="4" fontId="83" fillId="7" borderId="46" xfId="0" applyNumberFormat="1" applyFont="1" applyFill="1" applyBorder="1" applyAlignment="1" applyProtection="1">
      <alignment vertical="center"/>
      <protection locked="0"/>
    </xf>
    <xf numFmtId="40" fontId="83" fillId="7" borderId="46" xfId="1" applyFont="1" applyFill="1" applyBorder="1" applyAlignment="1" applyProtection="1">
      <alignment vertical="center"/>
      <protection locked="0"/>
    </xf>
    <xf numFmtId="40" fontId="83" fillId="0" borderId="46" xfId="1" applyFont="1" applyFill="1" applyBorder="1" applyAlignment="1" applyProtection="1">
      <alignment vertical="center"/>
    </xf>
    <xf numFmtId="176" fontId="83" fillId="13" borderId="46" xfId="1" applyNumberFormat="1" applyFont="1" applyFill="1" applyBorder="1" applyAlignment="1" applyProtection="1">
      <alignment vertical="center"/>
    </xf>
    <xf numFmtId="4" fontId="83" fillId="0" borderId="46" xfId="0" applyNumberFormat="1" applyFont="1" applyBorder="1" applyAlignment="1">
      <alignment vertical="center"/>
    </xf>
    <xf numFmtId="168" fontId="83" fillId="0" borderId="46" xfId="0" applyNumberFormat="1" applyFont="1" applyBorder="1" applyAlignment="1">
      <alignment vertical="center"/>
    </xf>
    <xf numFmtId="4" fontId="82" fillId="0" borderId="46" xfId="0" applyNumberFormat="1" applyFont="1" applyBorder="1" applyAlignment="1">
      <alignment vertical="center"/>
    </xf>
    <xf numFmtId="3" fontId="83" fillId="0" borderId="46" xfId="0" applyNumberFormat="1" applyFont="1" applyBorder="1" applyAlignment="1">
      <alignment vertical="center"/>
    </xf>
    <xf numFmtId="170" fontId="83" fillId="0" borderId="46" xfId="0" applyNumberFormat="1" applyFont="1" applyBorder="1" applyAlignment="1">
      <alignment vertical="center"/>
    </xf>
    <xf numFmtId="4" fontId="89" fillId="0" borderId="46" xfId="0" applyNumberFormat="1" applyFont="1" applyBorder="1" applyAlignment="1">
      <alignment vertical="center"/>
    </xf>
    <xf numFmtId="4" fontId="92" fillId="0" borderId="46" xfId="0" applyNumberFormat="1" applyFont="1" applyBorder="1" applyAlignment="1">
      <alignment vertical="center"/>
    </xf>
    <xf numFmtId="170" fontId="5" fillId="0" borderId="46" xfId="0" applyNumberFormat="1" applyFont="1" applyBorder="1" applyAlignment="1">
      <alignment vertical="center"/>
    </xf>
    <xf numFmtId="40" fontId="83" fillId="0" borderId="46" xfId="1" applyFont="1" applyFill="1" applyBorder="1" applyAlignment="1" applyProtection="1">
      <alignment vertical="center"/>
      <protection locked="0"/>
    </xf>
    <xf numFmtId="0" fontId="92" fillId="0" borderId="46" xfId="0" applyFont="1" applyBorder="1" applyAlignment="1">
      <alignment horizontal="center" vertical="center"/>
    </xf>
    <xf numFmtId="3" fontId="92" fillId="0" borderId="46" xfId="0" applyNumberFormat="1" applyFont="1" applyBorder="1" applyAlignment="1">
      <alignment vertical="center"/>
    </xf>
    <xf numFmtId="3" fontId="92" fillId="0" borderId="50" xfId="0" applyNumberFormat="1" applyFont="1" applyBorder="1" applyAlignment="1">
      <alignment vertical="center"/>
    </xf>
    <xf numFmtId="4" fontId="84" fillId="0" borderId="46" xfId="0" applyNumberFormat="1" applyFont="1" applyBorder="1" applyAlignment="1">
      <alignment vertical="center"/>
    </xf>
    <xf numFmtId="40" fontId="84" fillId="0" borderId="46" xfId="1" applyFont="1" applyBorder="1" applyAlignment="1">
      <alignment vertical="center"/>
    </xf>
    <xf numFmtId="169" fontId="84" fillId="0" borderId="46" xfId="0" applyNumberFormat="1" applyFont="1" applyBorder="1" applyAlignment="1">
      <alignment vertical="center"/>
    </xf>
    <xf numFmtId="168" fontId="84" fillId="0" borderId="46" xfId="0" applyNumberFormat="1" applyFont="1" applyBorder="1" applyAlignment="1">
      <alignment vertical="center"/>
    </xf>
    <xf numFmtId="170" fontId="84" fillId="0" borderId="46" xfId="0" applyNumberFormat="1" applyFont="1" applyBorder="1" applyAlignment="1">
      <alignment vertical="center"/>
    </xf>
    <xf numFmtId="3" fontId="82" fillId="0" borderId="0" xfId="0" applyNumberFormat="1" applyFont="1" applyAlignment="1">
      <alignment vertical="center"/>
    </xf>
    <xf numFmtId="40" fontId="83" fillId="0" borderId="0" xfId="1" applyFont="1" applyBorder="1" applyAlignment="1">
      <alignment vertical="center"/>
    </xf>
    <xf numFmtId="168" fontId="83" fillId="0" borderId="0" xfId="0" applyNumberFormat="1" applyFont="1" applyAlignment="1">
      <alignment vertical="center"/>
    </xf>
    <xf numFmtId="170" fontId="83" fillId="0" borderId="0" xfId="0" applyNumberFormat="1" applyFont="1" applyAlignment="1">
      <alignment vertical="center"/>
    </xf>
    <xf numFmtId="4" fontId="84" fillId="0" borderId="44" xfId="0" applyNumberFormat="1" applyFont="1" applyBorder="1" applyAlignment="1">
      <alignment vertical="center"/>
    </xf>
    <xf numFmtId="4" fontId="84" fillId="0" borderId="45" xfId="0" applyNumberFormat="1" applyFont="1" applyBorder="1" applyAlignment="1">
      <alignment vertical="center"/>
    </xf>
    <xf numFmtId="40" fontId="82" fillId="0" borderId="0" xfId="1" applyFont="1" applyAlignment="1">
      <alignment vertical="center"/>
    </xf>
    <xf numFmtId="0" fontId="9" fillId="0" borderId="0" xfId="0" applyFont="1" applyAlignment="1" applyProtection="1">
      <alignment horizontal="center"/>
      <protection locked="0"/>
    </xf>
    <xf numFmtId="0" fontId="78" fillId="0" borderId="0" xfId="0" applyFont="1" applyAlignment="1" applyProtection="1">
      <alignment vertical="center"/>
      <protection hidden="1"/>
    </xf>
    <xf numFmtId="14" fontId="54" fillId="0" borderId="51" xfId="0" applyNumberFormat="1" applyFont="1" applyBorder="1" applyAlignment="1" applyProtection="1">
      <alignment horizontal="center"/>
      <protection hidden="1"/>
    </xf>
    <xf numFmtId="3" fontId="54" fillId="0" borderId="52" xfId="1" applyNumberFormat="1" applyFont="1" applyBorder="1" applyAlignment="1" applyProtection="1">
      <alignment horizontal="center"/>
      <protection hidden="1"/>
    </xf>
    <xf numFmtId="3" fontId="54" fillId="0" borderId="53" xfId="1" applyNumberFormat="1" applyFont="1" applyBorder="1" applyAlignment="1" applyProtection="1">
      <alignment horizontal="center"/>
      <protection hidden="1"/>
    </xf>
    <xf numFmtId="164" fontId="54" fillId="0" borderId="53" xfId="1" applyNumberFormat="1" applyFont="1" applyBorder="1" applyAlignment="1" applyProtection="1">
      <alignment horizontal="center"/>
      <protection hidden="1"/>
    </xf>
    <xf numFmtId="4" fontId="54" fillId="0" borderId="53" xfId="1" applyNumberFormat="1" applyFont="1" applyBorder="1" applyAlignment="1" applyProtection="1">
      <alignment horizontal="center"/>
      <protection hidden="1"/>
    </xf>
    <xf numFmtId="3" fontId="54" fillId="0" borderId="53" xfId="1" quotePrefix="1" applyNumberFormat="1" applyFont="1" applyBorder="1" applyAlignment="1" applyProtection="1">
      <alignment horizontal="center"/>
      <protection hidden="1"/>
    </xf>
    <xf numFmtId="164" fontId="54" fillId="0" borderId="53" xfId="1" quotePrefix="1" applyNumberFormat="1" applyFont="1" applyBorder="1" applyAlignment="1" applyProtection="1">
      <alignment horizontal="center"/>
      <protection hidden="1"/>
    </xf>
    <xf numFmtId="1" fontId="21" fillId="0" borderId="7" xfId="1" applyNumberFormat="1" applyFont="1" applyBorder="1" applyAlignment="1" applyProtection="1">
      <protection locked="0"/>
    </xf>
    <xf numFmtId="0" fontId="17" fillId="0" borderId="0" xfId="0" applyFont="1" applyAlignment="1">
      <alignment vertical="center"/>
    </xf>
    <xf numFmtId="0" fontId="17" fillId="0" borderId="0" xfId="0" applyFont="1" applyAlignment="1">
      <alignment horizontal="justify" vertical="center"/>
    </xf>
    <xf numFmtId="0" fontId="17" fillId="0" borderId="0" xfId="0" applyFont="1" applyAlignment="1">
      <alignment horizontal="center" vertical="center"/>
    </xf>
    <xf numFmtId="0" fontId="5" fillId="0" borderId="0" xfId="0" applyFont="1" applyAlignment="1">
      <alignment horizontal="center" vertical="center"/>
    </xf>
    <xf numFmtId="0" fontId="17" fillId="0" borderId="0" xfId="0" applyFont="1"/>
    <xf numFmtId="0" fontId="17" fillId="0" borderId="0" xfId="0" applyFont="1" applyAlignment="1">
      <alignment horizontal="center"/>
    </xf>
    <xf numFmtId="3" fontId="5" fillId="0" borderId="0" xfId="0" applyNumberFormat="1" applyFont="1" applyAlignment="1">
      <alignment horizontal="center"/>
    </xf>
    <xf numFmtId="0" fontId="79" fillId="0" borderId="0" xfId="0" applyFont="1" applyAlignment="1">
      <alignment horizontal="center" vertical="center"/>
    </xf>
    <xf numFmtId="3" fontId="79" fillId="0" borderId="0" xfId="0" applyNumberFormat="1" applyFont="1" applyAlignment="1">
      <alignment horizontal="center" vertical="center"/>
    </xf>
    <xf numFmtId="0" fontId="14" fillId="0" borderId="0" xfId="0" applyFont="1" applyAlignment="1">
      <alignment horizontal="center" vertical="center"/>
    </xf>
    <xf numFmtId="0" fontId="17" fillId="0" borderId="0" xfId="0" quotePrefix="1" applyFont="1" applyAlignment="1">
      <alignment vertical="center"/>
    </xf>
    <xf numFmtId="4" fontId="17" fillId="0" borderId="0" xfId="0" applyNumberFormat="1" applyFont="1" applyAlignment="1">
      <alignment vertical="center"/>
    </xf>
    <xf numFmtId="40" fontId="17" fillId="0" borderId="0" xfId="0" applyNumberFormat="1" applyFont="1" applyAlignment="1">
      <alignment vertical="center"/>
    </xf>
    <xf numFmtId="164" fontId="79" fillId="0" borderId="0" xfId="0" applyNumberFormat="1" applyFont="1" applyAlignment="1">
      <alignment horizontal="center" vertical="center"/>
    </xf>
    <xf numFmtId="0" fontId="20" fillId="0" borderId="0" xfId="0" applyFont="1" applyAlignment="1" applyProtection="1">
      <alignment vertical="center"/>
      <protection hidden="1"/>
    </xf>
    <xf numFmtId="0" fontId="89" fillId="0" borderId="0" xfId="0" applyFont="1" applyProtection="1">
      <protection locked="0" hidden="1"/>
    </xf>
    <xf numFmtId="0" fontId="85" fillId="0" borderId="0" xfId="0" applyFont="1" applyAlignment="1">
      <alignment horizontal="center"/>
    </xf>
    <xf numFmtId="0" fontId="85" fillId="0" borderId="0" xfId="0" applyFont="1" applyAlignment="1">
      <alignment horizontal="center" vertical="center"/>
    </xf>
    <xf numFmtId="0" fontId="79" fillId="0" borderId="44" xfId="0" applyFont="1" applyBorder="1" applyAlignment="1">
      <alignment vertical="center"/>
    </xf>
    <xf numFmtId="0" fontId="79" fillId="0" borderId="45" xfId="0" applyFont="1" applyBorder="1" applyAlignment="1">
      <alignment horizontal="center" vertical="center"/>
    </xf>
    <xf numFmtId="4" fontId="79" fillId="0" borderId="45" xfId="0" applyNumberFormat="1" applyFont="1" applyBorder="1" applyAlignment="1">
      <alignment vertical="center"/>
    </xf>
    <xf numFmtId="3" fontId="5" fillId="0" borderId="0" xfId="0" applyNumberFormat="1" applyFont="1" applyAlignment="1" applyProtection="1">
      <alignment horizontal="center"/>
      <protection locked="0" hidden="1"/>
    </xf>
    <xf numFmtId="3" fontId="5" fillId="0" borderId="0" xfId="0" applyNumberFormat="1" applyFont="1" applyAlignment="1" applyProtection="1">
      <alignment horizontal="left"/>
      <protection locked="0" hidden="1"/>
    </xf>
    <xf numFmtId="0" fontId="17" fillId="0" borderId="0" xfId="0" applyFont="1" applyAlignment="1">
      <alignment horizontal="left"/>
    </xf>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3" fontId="15" fillId="0" borderId="34" xfId="4" applyNumberFormat="1" applyFont="1" applyBorder="1" applyAlignment="1" applyProtection="1">
      <alignment horizontal="right" wrapText="1"/>
      <protection locked="0"/>
    </xf>
    <xf numFmtId="3" fontId="15" fillId="0" borderId="1" xfId="4" applyNumberFormat="1" applyFont="1" applyBorder="1" applyAlignment="1" applyProtection="1">
      <alignment horizontal="right" wrapText="1"/>
      <protection locked="0"/>
    </xf>
    <xf numFmtId="3" fontId="13" fillId="0" borderId="5" xfId="1" applyNumberFormat="1" applyFont="1" applyBorder="1" applyAlignment="1" applyProtection="1">
      <alignment horizontal="left"/>
      <protection locked="0" hidden="1"/>
    </xf>
    <xf numFmtId="3" fontId="39" fillId="15" borderId="5" xfId="1" applyNumberFormat="1" applyFont="1" applyFill="1" applyBorder="1" applyAlignment="1" applyProtection="1">
      <alignment horizontal="left"/>
      <protection locked="0" hidden="1"/>
    </xf>
    <xf numFmtId="3" fontId="39" fillId="15" borderId="32" xfId="1" applyNumberFormat="1" applyFont="1" applyFill="1" applyBorder="1" applyAlignment="1" applyProtection="1">
      <alignment horizontal="left"/>
      <protection locked="0" hidden="1"/>
    </xf>
    <xf numFmtId="4" fontId="50" fillId="15" borderId="16" xfId="1" applyNumberFormat="1" applyFont="1" applyFill="1" applyBorder="1" applyProtection="1">
      <protection locked="0" hidden="1"/>
    </xf>
    <xf numFmtId="164" fontId="21" fillId="15" borderId="22" xfId="1" applyNumberFormat="1" applyFont="1" applyFill="1" applyBorder="1" applyProtection="1">
      <protection locked="0" hidden="1"/>
    </xf>
    <xf numFmtId="164" fontId="51" fillId="15" borderId="0" xfId="0" applyNumberFormat="1" applyFont="1" applyFill="1" applyProtection="1">
      <protection locked="0" hidden="1"/>
    </xf>
    <xf numFmtId="164" fontId="21" fillId="15" borderId="15" xfId="1" applyNumberFormat="1" applyFont="1" applyFill="1" applyBorder="1" applyProtection="1">
      <protection locked="0" hidden="1"/>
    </xf>
    <xf numFmtId="0" fontId="94" fillId="0" borderId="0" xfId="0" applyFont="1" applyProtection="1">
      <protection locked="0"/>
    </xf>
    <xf numFmtId="0" fontId="94" fillId="0" borderId="0" xfId="0" applyFont="1" applyAlignment="1" applyProtection="1">
      <alignment vertical="center"/>
      <protection locked="0"/>
    </xf>
    <xf numFmtId="0" fontId="5" fillId="0" borderId="0" xfId="0" applyFont="1" applyAlignment="1">
      <alignment horizontal="left"/>
    </xf>
    <xf numFmtId="0" fontId="96" fillId="0" borderId="0" xfId="0" applyFont="1" applyAlignment="1">
      <alignment horizontal="left"/>
    </xf>
    <xf numFmtId="169" fontId="17" fillId="0" borderId="0" xfId="0" applyNumberFormat="1" applyFont="1" applyAlignment="1">
      <alignment vertical="center"/>
    </xf>
    <xf numFmtId="0" fontId="71" fillId="0" borderId="46" xfId="0" applyFont="1" applyBorder="1" applyAlignment="1">
      <alignment horizontal="left" vertical="center"/>
    </xf>
    <xf numFmtId="0" fontId="5" fillId="0" borderId="0" xfId="0" applyFont="1" applyAlignment="1">
      <alignment horizontal="left" vertical="center"/>
    </xf>
    <xf numFmtId="0" fontId="22" fillId="0" borderId="0" xfId="0" applyFont="1" applyAlignment="1" applyProtection="1">
      <alignment horizontal="left" vertical="center"/>
      <protection hidden="1"/>
    </xf>
    <xf numFmtId="0" fontId="17" fillId="0" borderId="0" xfId="0" applyFont="1" applyProtection="1">
      <protection locked="0"/>
    </xf>
    <xf numFmtId="3" fontId="17" fillId="0" borderId="0" xfId="1" applyNumberFormat="1" applyFont="1" applyBorder="1" applyAlignment="1" applyProtection="1">
      <alignment horizontal="left"/>
      <protection hidden="1"/>
    </xf>
    <xf numFmtId="164" fontId="17" fillId="0" borderId="0" xfId="1" applyNumberFormat="1" applyFont="1" applyBorder="1" applyAlignment="1" applyProtection="1">
      <alignment horizontal="left"/>
      <protection hidden="1"/>
    </xf>
    <xf numFmtId="0" fontId="82" fillId="0" borderId="0" xfId="0" applyFont="1"/>
    <xf numFmtId="0" fontId="82" fillId="0" borderId="0" xfId="0" applyFont="1" applyAlignment="1">
      <alignment horizontal="center" vertical="center" wrapText="1"/>
    </xf>
    <xf numFmtId="0" fontId="92" fillId="0" borderId="0" xfId="0" applyFont="1" applyAlignment="1">
      <alignment horizontal="left" vertical="top"/>
    </xf>
    <xf numFmtId="0" fontId="92" fillId="0" borderId="0" xfId="0" applyFont="1"/>
    <xf numFmtId="0" fontId="17" fillId="0" borderId="0" xfId="0" applyFont="1" applyAlignment="1">
      <alignment vertical="center" wrapText="1"/>
    </xf>
    <xf numFmtId="0" fontId="17" fillId="13" borderId="0" xfId="0" applyFont="1" applyFill="1" applyAlignment="1">
      <alignment horizontal="left" vertical="center"/>
    </xf>
    <xf numFmtId="0" fontId="82" fillId="0" borderId="0" xfId="0" applyFont="1" applyAlignment="1">
      <alignment vertical="center" wrapText="1"/>
    </xf>
    <xf numFmtId="0" fontId="82" fillId="13" borderId="0" xfId="0" applyFont="1" applyFill="1" applyAlignment="1">
      <alignment vertical="center"/>
    </xf>
    <xf numFmtId="0" fontId="83" fillId="0" borderId="0" xfId="0" applyFont="1"/>
    <xf numFmtId="2" fontId="17" fillId="0" borderId="0" xfId="0" applyNumberFormat="1" applyFont="1" applyAlignment="1">
      <alignment horizontal="center" vertical="center"/>
    </xf>
    <xf numFmtId="0" fontId="82" fillId="0" borderId="0" xfId="0" applyFont="1" applyAlignment="1">
      <alignment horizontal="left" vertical="center"/>
    </xf>
    <xf numFmtId="0" fontId="101" fillId="0" borderId="0" xfId="0" applyFont="1" applyAlignment="1">
      <alignment vertical="center"/>
    </xf>
    <xf numFmtId="0" fontId="101" fillId="0" borderId="0" xfId="0" applyFont="1" applyAlignment="1">
      <alignment horizontal="center" vertical="center"/>
    </xf>
    <xf numFmtId="0" fontId="101" fillId="16" borderId="0" xfId="0" applyFont="1" applyFill="1" applyAlignment="1">
      <alignment horizontal="left" vertical="center"/>
    </xf>
    <xf numFmtId="0" fontId="101" fillId="16" borderId="0" xfId="0" applyFont="1" applyFill="1" applyAlignment="1">
      <alignment horizontal="center" vertical="center"/>
    </xf>
    <xf numFmtId="0" fontId="92" fillId="0" borderId="44" xfId="0" applyFont="1" applyBorder="1" applyAlignment="1">
      <alignment vertical="center"/>
    </xf>
    <xf numFmtId="0" fontId="92" fillId="0" borderId="45" xfId="0" applyFont="1" applyBorder="1" applyAlignment="1">
      <alignment horizontal="center" vertical="center"/>
    </xf>
    <xf numFmtId="0" fontId="17" fillId="0" borderId="45" xfId="0" applyFont="1" applyBorder="1" applyAlignment="1">
      <alignment horizontal="center"/>
    </xf>
    <xf numFmtId="0" fontId="82" fillId="0" borderId="45" xfId="0" applyFont="1" applyBorder="1" applyAlignment="1">
      <alignment horizontal="center"/>
    </xf>
    <xf numFmtId="0" fontId="85" fillId="0" borderId="48" xfId="0" applyFont="1" applyBorder="1" applyAlignment="1" applyProtection="1">
      <alignment horizontal="center" vertical="center"/>
      <protection locked="0"/>
    </xf>
    <xf numFmtId="0" fontId="92" fillId="0" borderId="61" xfId="0" applyFont="1" applyBorder="1" applyAlignment="1">
      <alignment horizontal="center" vertical="center"/>
    </xf>
    <xf numFmtId="0" fontId="92" fillId="0" borderId="62" xfId="0" applyFont="1" applyBorder="1" applyAlignment="1">
      <alignment horizontal="center" vertical="center" wrapText="1"/>
    </xf>
    <xf numFmtId="0" fontId="79" fillId="0" borderId="62" xfId="0" applyFont="1" applyBorder="1" applyAlignment="1">
      <alignment horizontal="center" vertical="center"/>
    </xf>
    <xf numFmtId="0" fontId="79" fillId="0" borderId="62" xfId="0" applyFont="1" applyBorder="1" applyAlignment="1">
      <alignment horizontal="center" vertical="center" wrapText="1"/>
    </xf>
    <xf numFmtId="0" fontId="92" fillId="0" borderId="62" xfId="0" applyFont="1" applyBorder="1" applyAlignment="1">
      <alignment horizontal="center" vertical="center"/>
    </xf>
    <xf numFmtId="0" fontId="92" fillId="0" borderId="63" xfId="0" applyFont="1" applyBorder="1" applyAlignment="1">
      <alignment horizontal="center" vertical="center"/>
    </xf>
    <xf numFmtId="0" fontId="92" fillId="0" borderId="65" xfId="0" applyFont="1" applyBorder="1" applyAlignment="1">
      <alignment horizontal="center" vertical="center"/>
    </xf>
    <xf numFmtId="0" fontId="92" fillId="0" borderId="66" xfId="0" applyFont="1" applyBorder="1" applyAlignment="1">
      <alignment horizontal="center" vertical="center"/>
    </xf>
    <xf numFmtId="0" fontId="92" fillId="0" borderId="57" xfId="0" applyFont="1" applyBorder="1" applyAlignment="1">
      <alignment horizontal="center" vertical="center"/>
    </xf>
    <xf numFmtId="0" fontId="92" fillId="0" borderId="64" xfId="0" applyFont="1" applyBorder="1" applyAlignment="1">
      <alignment horizontal="center" vertical="center" wrapText="1"/>
    </xf>
    <xf numFmtId="0" fontId="79" fillId="0" borderId="64" xfId="0" applyFont="1" applyBorder="1" applyAlignment="1">
      <alignment horizontal="center" vertical="center"/>
    </xf>
    <xf numFmtId="0" fontId="79" fillId="0" borderId="64" xfId="0" applyFont="1" applyBorder="1" applyAlignment="1">
      <alignment horizontal="center" vertical="center" wrapText="1"/>
    </xf>
    <xf numFmtId="0" fontId="92" fillId="0" borderId="64" xfId="0" applyFont="1" applyBorder="1" applyAlignment="1">
      <alignment horizontal="center" vertical="center"/>
    </xf>
    <xf numFmtId="0" fontId="92" fillId="0" borderId="56" xfId="0" applyFont="1" applyBorder="1" applyAlignment="1">
      <alignment horizontal="center" vertical="center"/>
    </xf>
    <xf numFmtId="0" fontId="82" fillId="0" borderId="44" xfId="0" applyFont="1" applyBorder="1" applyAlignment="1">
      <alignment horizontal="left"/>
    </xf>
    <xf numFmtId="0" fontId="86" fillId="14" borderId="45" xfId="0" applyFont="1" applyFill="1" applyBorder="1" applyAlignment="1" applyProtection="1">
      <alignment horizontal="center"/>
      <protection locked="0"/>
    </xf>
    <xf numFmtId="0" fontId="106" fillId="7" borderId="45" xfId="0" applyFont="1" applyFill="1" applyBorder="1" applyAlignment="1" applyProtection="1">
      <alignment horizontal="center"/>
      <protection locked="0"/>
    </xf>
    <xf numFmtId="170" fontId="82" fillId="0" borderId="45" xfId="0" applyNumberFormat="1" applyFont="1" applyBorder="1" applyAlignment="1">
      <alignment horizontal="center"/>
    </xf>
    <xf numFmtId="0" fontId="82" fillId="0" borderId="48" xfId="0" applyFont="1" applyBorder="1" applyAlignment="1">
      <alignment horizontal="center"/>
    </xf>
    <xf numFmtId="0" fontId="86" fillId="0" borderId="67" xfId="0" applyFont="1" applyBorder="1" applyAlignment="1">
      <alignment horizontal="center"/>
    </xf>
    <xf numFmtId="0" fontId="107" fillId="0" borderId="45" xfId="0" applyFont="1" applyBorder="1" applyAlignment="1">
      <alignment horizontal="center"/>
    </xf>
    <xf numFmtId="0" fontId="108" fillId="14" borderId="45" xfId="0" applyFont="1" applyFill="1" applyBorder="1" applyAlignment="1" applyProtection="1">
      <alignment horizontal="center"/>
      <protection locked="0"/>
    </xf>
    <xf numFmtId="0" fontId="82" fillId="0" borderId="67" xfId="0" applyFont="1" applyBorder="1" applyAlignment="1">
      <alignment horizontal="center"/>
    </xf>
    <xf numFmtId="0" fontId="82" fillId="0" borderId="0" xfId="0" quotePrefix="1" applyFont="1"/>
    <xf numFmtId="0" fontId="82" fillId="13" borderId="45" xfId="0" applyFont="1" applyFill="1" applyBorder="1" applyAlignment="1">
      <alignment horizontal="center"/>
    </xf>
    <xf numFmtId="0" fontId="17" fillId="0" borderId="67" xfId="0" applyFont="1" applyBorder="1" applyAlignment="1">
      <alignment horizontal="center"/>
    </xf>
    <xf numFmtId="0" fontId="82" fillId="0" borderId="0" xfId="0" applyFont="1" applyAlignment="1">
      <alignment horizontal="center"/>
    </xf>
    <xf numFmtId="0" fontId="82" fillId="0" borderId="46" xfId="0" applyFont="1" applyBorder="1" applyAlignment="1">
      <alignment horizontal="left" vertical="center"/>
    </xf>
    <xf numFmtId="178" fontId="17" fillId="7" borderId="46" xfId="1" applyNumberFormat="1" applyFont="1" applyFill="1" applyBorder="1" applyAlignment="1" applyProtection="1">
      <alignment horizontal="right" vertical="center"/>
      <protection locked="0"/>
    </xf>
    <xf numFmtId="43" fontId="17" fillId="7" borderId="46" xfId="1" applyNumberFormat="1" applyFont="1" applyFill="1" applyBorder="1" applyAlignment="1" applyProtection="1">
      <alignment horizontal="center" vertical="center"/>
      <protection locked="0"/>
    </xf>
    <xf numFmtId="0" fontId="82" fillId="0" borderId="63" xfId="0" applyFont="1" applyBorder="1" applyAlignment="1">
      <alignment horizontal="center" vertical="center" wrapText="1"/>
    </xf>
    <xf numFmtId="0" fontId="82" fillId="0" borderId="47" xfId="0" applyFont="1" applyBorder="1" applyAlignment="1">
      <alignment horizontal="center" vertical="center" wrapText="1"/>
    </xf>
    <xf numFmtId="176" fontId="17" fillId="13" borderId="46" xfId="1" applyNumberFormat="1" applyFont="1" applyFill="1" applyBorder="1" applyAlignment="1">
      <alignment horizontal="center" vertical="center"/>
    </xf>
    <xf numFmtId="0" fontId="83" fillId="0" borderId="56" xfId="0" applyFont="1" applyBorder="1" applyAlignment="1">
      <alignment horizontal="center" vertical="center"/>
    </xf>
    <xf numFmtId="0" fontId="82" fillId="0" borderId="50" xfId="0" applyFont="1" applyBorder="1" applyAlignment="1">
      <alignment horizontal="center"/>
    </xf>
    <xf numFmtId="0" fontId="17" fillId="13" borderId="46" xfId="0" applyFont="1" applyFill="1" applyBorder="1" applyAlignment="1">
      <alignment horizontal="left" vertical="center"/>
    </xf>
    <xf numFmtId="0" fontId="17" fillId="13" borderId="46" xfId="0" applyFont="1" applyFill="1" applyBorder="1" applyAlignment="1">
      <alignment horizontal="center" vertical="center"/>
    </xf>
    <xf numFmtId="0" fontId="82" fillId="13" borderId="46" xfId="0" applyFont="1" applyFill="1" applyBorder="1" applyAlignment="1">
      <alignment horizontal="center" vertical="center"/>
    </xf>
    <xf numFmtId="3" fontId="83" fillId="0" borderId="48" xfId="0" applyNumberFormat="1" applyFont="1" applyBorder="1" applyAlignment="1">
      <alignment horizontal="center" vertical="center" wrapText="1"/>
    </xf>
    <xf numFmtId="3" fontId="83" fillId="0" borderId="46" xfId="0" applyNumberFormat="1" applyFont="1" applyBorder="1" applyAlignment="1">
      <alignment horizontal="center" vertical="center"/>
    </xf>
    <xf numFmtId="4" fontId="83" fillId="0" borderId="46" xfId="0" applyNumberFormat="1" applyFont="1" applyBorder="1" applyAlignment="1">
      <alignment horizontal="center" vertical="center" wrapText="1"/>
    </xf>
    <xf numFmtId="0" fontId="82" fillId="13" borderId="46" xfId="0" applyFont="1" applyFill="1" applyBorder="1" applyAlignment="1">
      <alignment vertical="center"/>
    </xf>
    <xf numFmtId="0" fontId="92" fillId="0" borderId="46" xfId="0" applyFont="1" applyBorder="1" applyAlignment="1">
      <alignment horizontal="left" vertical="center"/>
    </xf>
    <xf numFmtId="4" fontId="79" fillId="0" borderId="46" xfId="1" applyNumberFormat="1" applyFont="1" applyBorder="1" applyAlignment="1">
      <alignment horizontal="right" vertical="center"/>
    </xf>
    <xf numFmtId="169" fontId="79" fillId="0" borderId="46" xfId="1" applyNumberFormat="1" applyFont="1" applyBorder="1" applyAlignment="1">
      <alignment horizontal="right" vertical="center"/>
    </xf>
    <xf numFmtId="0" fontId="92" fillId="0" borderId="46" xfId="0" applyFont="1" applyBorder="1" applyAlignment="1">
      <alignment vertical="center"/>
    </xf>
    <xf numFmtId="179" fontId="85" fillId="0" borderId="46" xfId="1" applyNumberFormat="1" applyFont="1" applyBorder="1" applyAlignment="1">
      <alignment horizontal="right" vertical="center"/>
    </xf>
    <xf numFmtId="43" fontId="17" fillId="0" borderId="46" xfId="1" applyNumberFormat="1" applyFont="1" applyBorder="1" applyAlignment="1">
      <alignment horizontal="center" vertical="center"/>
    </xf>
    <xf numFmtId="1" fontId="106" fillId="7" borderId="45" xfId="0" applyNumberFormat="1" applyFont="1" applyFill="1" applyBorder="1" applyAlignment="1" applyProtection="1">
      <alignment horizontal="center"/>
      <protection locked="0"/>
    </xf>
    <xf numFmtId="0" fontId="17" fillId="0" borderId="0" xfId="0" quotePrefix="1" applyFont="1" applyAlignment="1">
      <alignment horizontal="right" vertical="center"/>
    </xf>
    <xf numFmtId="169" fontId="79" fillId="0" borderId="45" xfId="0" applyNumberFormat="1" applyFont="1" applyBorder="1" applyAlignment="1">
      <alignment vertical="center"/>
    </xf>
    <xf numFmtId="0" fontId="17" fillId="0" borderId="45" xfId="0" applyFont="1" applyBorder="1"/>
    <xf numFmtId="0" fontId="17" fillId="0" borderId="48" xfId="0" applyFont="1" applyBorder="1"/>
    <xf numFmtId="0" fontId="93" fillId="0" borderId="0" xfId="0" applyFont="1" applyAlignment="1" applyProtection="1">
      <alignment horizontal="center" vertical="center"/>
      <protection locked="0"/>
    </xf>
    <xf numFmtId="3" fontId="86" fillId="0" borderId="0" xfId="1" applyNumberFormat="1" applyFont="1" applyBorder="1" applyAlignment="1" applyProtection="1">
      <alignment horizontal="center" vertical="center"/>
      <protection locked="0" hidden="1"/>
    </xf>
    <xf numFmtId="0" fontId="79" fillId="0" borderId="0" xfId="0" applyFont="1" applyAlignment="1" applyProtection="1">
      <alignment horizontal="left" vertical="center"/>
      <protection hidden="1"/>
    </xf>
    <xf numFmtId="0" fontId="5" fillId="0" borderId="0" xfId="0" applyFont="1" applyAlignment="1">
      <alignment horizontal="right" vertical="center"/>
    </xf>
    <xf numFmtId="0" fontId="85" fillId="17" borderId="58" xfId="0" applyFont="1" applyFill="1" applyBorder="1" applyAlignment="1" applyProtection="1">
      <alignment horizontal="center" vertical="center"/>
      <protection locked="0"/>
    </xf>
    <xf numFmtId="3" fontId="85" fillId="17" borderId="58" xfId="1" applyNumberFormat="1" applyFont="1" applyFill="1" applyBorder="1" applyAlignment="1" applyProtection="1">
      <alignment horizontal="center" vertical="center"/>
      <protection locked="0" hidden="1"/>
    </xf>
    <xf numFmtId="0" fontId="5" fillId="0" borderId="0" xfId="0" applyFont="1" applyAlignment="1">
      <alignment vertical="center"/>
    </xf>
    <xf numFmtId="0" fontId="17" fillId="0" borderId="0" xfId="0" applyFont="1" applyAlignment="1">
      <alignment horizontal="left" vertical="center"/>
    </xf>
    <xf numFmtId="0" fontId="5" fillId="0" borderId="0" xfId="0" applyFont="1" applyAlignment="1" applyProtection="1">
      <alignment vertical="center"/>
      <protection locked="0"/>
    </xf>
    <xf numFmtId="0" fontId="9" fillId="0" borderId="0" xfId="0" applyFont="1" applyAlignment="1" applyProtection="1">
      <alignment horizontal="left" vertical="center"/>
      <protection hidden="1"/>
    </xf>
    <xf numFmtId="3" fontId="17" fillId="0" borderId="0" xfId="1" applyNumberFormat="1" applyFont="1" applyBorder="1" applyAlignment="1" applyProtection="1">
      <alignment horizontal="left" vertical="center"/>
      <protection hidden="1"/>
    </xf>
    <xf numFmtId="3" fontId="5" fillId="0" borderId="0" xfId="1" applyNumberFormat="1" applyFont="1" applyBorder="1" applyAlignment="1" applyProtection="1">
      <alignment vertical="center"/>
      <protection hidden="1"/>
    </xf>
    <xf numFmtId="3" fontId="5" fillId="0" borderId="0" xfId="1" applyNumberFormat="1" applyFont="1" applyBorder="1" applyAlignment="1" applyProtection="1">
      <alignment horizontal="left" vertical="center"/>
      <protection hidden="1"/>
    </xf>
    <xf numFmtId="164" fontId="17" fillId="0" borderId="0" xfId="1" applyNumberFormat="1" applyFont="1" applyBorder="1" applyAlignment="1" applyProtection="1">
      <alignment horizontal="left" vertical="center"/>
      <protection hidden="1"/>
    </xf>
    <xf numFmtId="0" fontId="79" fillId="0" borderId="0" xfId="0" applyFont="1" applyAlignment="1" applyProtection="1">
      <alignment vertical="center"/>
      <protection hidden="1"/>
    </xf>
    <xf numFmtId="0" fontId="9" fillId="0" borderId="0" xfId="0" applyFont="1" applyAlignment="1" applyProtection="1">
      <alignment vertical="center"/>
      <protection hidden="1"/>
    </xf>
    <xf numFmtId="0" fontId="111" fillId="0" borderId="0" xfId="0" applyFont="1" applyAlignment="1" applyProtection="1">
      <alignment vertical="center"/>
      <protection hidden="1"/>
    </xf>
    <xf numFmtId="0" fontId="31"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3" fontId="85" fillId="0" borderId="58" xfId="1" applyNumberFormat="1" applyFont="1" applyBorder="1" applyAlignment="1" applyProtection="1">
      <alignment horizontal="center" vertical="center"/>
      <protection hidden="1"/>
    </xf>
    <xf numFmtId="3" fontId="85" fillId="0" borderId="0" xfId="1" applyNumberFormat="1" applyFont="1" applyBorder="1" applyAlignment="1" applyProtection="1">
      <alignment horizontal="center" vertical="center"/>
      <protection hidden="1"/>
    </xf>
    <xf numFmtId="164" fontId="5" fillId="0" borderId="0" xfId="1" applyNumberFormat="1" applyFont="1" applyBorder="1" applyAlignment="1" applyProtection="1">
      <alignment horizontal="left" vertical="center"/>
      <protection hidden="1"/>
    </xf>
    <xf numFmtId="3" fontId="85" fillId="0" borderId="0" xfId="1" quotePrefix="1" applyNumberFormat="1" applyFont="1" applyBorder="1" applyAlignment="1" applyProtection="1">
      <alignment horizontal="center" vertical="center"/>
      <protection hidden="1"/>
    </xf>
    <xf numFmtId="164" fontId="85" fillId="0" borderId="58" xfId="1" quotePrefix="1" applyNumberFormat="1" applyFont="1" applyBorder="1" applyAlignment="1" applyProtection="1">
      <alignment horizontal="center" vertical="center"/>
      <protection hidden="1"/>
    </xf>
    <xf numFmtId="164" fontId="85" fillId="0" borderId="0" xfId="1" quotePrefix="1" applyNumberFormat="1" applyFont="1" applyBorder="1" applyAlignment="1" applyProtection="1">
      <alignment horizontal="center" vertical="center"/>
      <protection hidden="1"/>
    </xf>
    <xf numFmtId="0" fontId="5" fillId="0" borderId="46" xfId="0" applyFont="1" applyBorder="1" applyAlignment="1" applyProtection="1">
      <alignment horizontal="center" vertical="center"/>
      <protection hidden="1"/>
    </xf>
    <xf numFmtId="177" fontId="5" fillId="18" borderId="46" xfId="0" applyNumberFormat="1" applyFont="1" applyFill="1" applyBorder="1" applyAlignment="1" applyProtection="1">
      <alignment horizontal="center" vertical="center"/>
      <protection locked="0"/>
    </xf>
    <xf numFmtId="3" fontId="5" fillId="18" borderId="46" xfId="1" applyNumberFormat="1" applyFont="1" applyFill="1" applyBorder="1" applyAlignment="1" applyProtection="1">
      <alignment vertical="center"/>
      <protection locked="0"/>
    </xf>
    <xf numFmtId="164" fontId="5" fillId="18" borderId="46" xfId="1" applyNumberFormat="1" applyFont="1" applyFill="1" applyBorder="1" applyAlignment="1" applyProtection="1">
      <alignment vertical="center"/>
      <protection locked="0"/>
    </xf>
    <xf numFmtId="177" fontId="9" fillId="18" borderId="46" xfId="0" applyNumberFormat="1" applyFont="1" applyFill="1" applyBorder="1" applyAlignment="1" applyProtection="1">
      <alignment horizontal="center" vertical="center"/>
      <protection locked="0"/>
    </xf>
    <xf numFmtId="3" fontId="5" fillId="18" borderId="46" xfId="1" applyNumberFormat="1" applyFont="1" applyFill="1" applyBorder="1" applyAlignment="1" applyProtection="1">
      <alignment vertical="center"/>
      <protection locked="0" hidden="1"/>
    </xf>
    <xf numFmtId="0" fontId="79" fillId="0" borderId="0" xfId="0" applyFont="1" applyAlignment="1">
      <alignment horizontal="left" vertical="center"/>
    </xf>
    <xf numFmtId="0" fontId="79" fillId="0" borderId="0" xfId="0" applyFont="1" applyAlignment="1" applyProtection="1">
      <alignment vertical="center"/>
      <protection locked="0"/>
    </xf>
    <xf numFmtId="3" fontId="5" fillId="17" borderId="58" xfId="1" applyNumberFormat="1" applyFont="1" applyFill="1" applyBorder="1" applyAlignment="1" applyProtection="1">
      <alignment vertical="center"/>
      <protection locked="0"/>
    </xf>
    <xf numFmtId="3" fontId="5" fillId="17" borderId="58" xfId="1" applyNumberFormat="1" applyFont="1" applyFill="1" applyBorder="1" applyAlignment="1" applyProtection="1">
      <alignment vertical="center"/>
      <protection locked="0" hidden="1"/>
    </xf>
    <xf numFmtId="164" fontId="5" fillId="17" borderId="58" xfId="1" applyNumberFormat="1" applyFont="1" applyFill="1" applyBorder="1" applyAlignment="1" applyProtection="1">
      <alignment vertical="center"/>
      <protection locked="0"/>
    </xf>
    <xf numFmtId="0" fontId="17" fillId="0" borderId="61" xfId="0" applyFont="1" applyBorder="1" applyAlignment="1">
      <alignment horizontal="left" vertical="center"/>
    </xf>
    <xf numFmtId="0" fontId="17" fillId="0" borderId="62" xfId="0" applyFont="1" applyBorder="1" applyAlignment="1">
      <alignment vertical="center"/>
    </xf>
    <xf numFmtId="0" fontId="17" fillId="0" borderId="63" xfId="0" applyFont="1" applyBorder="1" applyAlignment="1">
      <alignment vertical="center"/>
    </xf>
    <xf numFmtId="0" fontId="17" fillId="0" borderId="65" xfId="0" applyFont="1" applyBorder="1" applyAlignment="1">
      <alignment horizontal="left" vertical="center"/>
    </xf>
    <xf numFmtId="0" fontId="17" fillId="17" borderId="66" xfId="0" applyFont="1" applyFill="1" applyBorder="1" applyAlignment="1">
      <alignment vertical="center"/>
    </xf>
    <xf numFmtId="0" fontId="17" fillId="0" borderId="66" xfId="0" applyFont="1" applyBorder="1" applyAlignment="1">
      <alignment vertical="center"/>
    </xf>
    <xf numFmtId="0" fontId="17" fillId="18" borderId="66" xfId="0" applyFont="1" applyFill="1" applyBorder="1" applyAlignment="1">
      <alignment vertical="center"/>
    </xf>
    <xf numFmtId="0" fontId="17" fillId="0" borderId="57" xfId="0" applyFont="1" applyBorder="1" applyAlignment="1">
      <alignment horizontal="left" vertical="center"/>
    </xf>
    <xf numFmtId="0" fontId="17" fillId="0" borderId="64" xfId="0" applyFont="1" applyBorder="1" applyAlignment="1">
      <alignment vertical="center"/>
    </xf>
    <xf numFmtId="0" fontId="5" fillId="0" borderId="64" xfId="0" applyFont="1" applyBorder="1" applyAlignment="1">
      <alignment vertical="center"/>
    </xf>
    <xf numFmtId="0" fontId="5" fillId="0" borderId="64" xfId="0" applyFont="1" applyBorder="1" applyAlignment="1">
      <alignment horizontal="right" vertical="center"/>
    </xf>
    <xf numFmtId="0" fontId="17" fillId="0" borderId="56" xfId="0" applyFont="1" applyBorder="1" applyAlignment="1">
      <alignment vertical="center"/>
    </xf>
    <xf numFmtId="0" fontId="5" fillId="0" borderId="65" xfId="0" applyFont="1" applyBorder="1" applyAlignment="1">
      <alignment horizontal="left" vertical="center"/>
    </xf>
    <xf numFmtId="0" fontId="113" fillId="0" borderId="46" xfId="0" applyFont="1" applyBorder="1" applyAlignment="1">
      <alignment vertical="center"/>
    </xf>
    <xf numFmtId="4" fontId="83" fillId="4" borderId="0" xfId="0" applyNumberFormat="1" applyFont="1" applyFill="1" applyAlignment="1">
      <alignment vertical="center"/>
    </xf>
    <xf numFmtId="40" fontId="83" fillId="7" borderId="68" xfId="1" applyFont="1" applyFill="1" applyBorder="1" applyAlignment="1" applyProtection="1">
      <alignment vertical="center"/>
      <protection locked="0"/>
    </xf>
    <xf numFmtId="40" fontId="96" fillId="9" borderId="47" xfId="1" applyFont="1" applyFill="1" applyBorder="1" applyAlignment="1">
      <alignment horizontal="center" vertical="center"/>
    </xf>
    <xf numFmtId="171" fontId="89" fillId="6" borderId="0" xfId="0" applyNumberFormat="1" applyFont="1" applyFill="1" applyProtection="1">
      <protection locked="0"/>
    </xf>
    <xf numFmtId="173" fontId="89" fillId="0" borderId="1" xfId="4" applyNumberFormat="1" applyFont="1" applyBorder="1" applyAlignment="1" applyProtection="1">
      <alignment horizontal="right" wrapText="1"/>
      <protection locked="0"/>
    </xf>
    <xf numFmtId="0" fontId="114" fillId="3" borderId="33" xfId="3" applyFont="1" applyFill="1" applyBorder="1" applyAlignment="1" applyProtection="1">
      <alignment horizontal="center"/>
      <protection locked="0"/>
    </xf>
    <xf numFmtId="0" fontId="114" fillId="3" borderId="33" xfId="0" applyFont="1" applyFill="1" applyBorder="1" applyAlignment="1" applyProtection="1">
      <alignment horizontal="center"/>
      <protection locked="0"/>
    </xf>
    <xf numFmtId="0" fontId="115" fillId="4" borderId="1" xfId="3" applyFont="1" applyFill="1" applyBorder="1" applyAlignment="1" applyProtection="1">
      <alignment horizontal="left"/>
      <protection locked="0"/>
    </xf>
    <xf numFmtId="0" fontId="115" fillId="0" borderId="0" xfId="0" applyFont="1" applyProtection="1">
      <protection locked="0"/>
    </xf>
    <xf numFmtId="4" fontId="115" fillId="0" borderId="1" xfId="4" applyNumberFormat="1" applyFont="1" applyBorder="1" applyAlignment="1" applyProtection="1">
      <alignment horizontal="right" wrapText="1"/>
      <protection locked="0"/>
    </xf>
    <xf numFmtId="0" fontId="115" fillId="0" borderId="0" xfId="0" applyFont="1" applyAlignment="1" applyProtection="1">
      <alignment horizontal="center"/>
      <protection locked="0"/>
    </xf>
    <xf numFmtId="3" fontId="115" fillId="0" borderId="1" xfId="4" applyNumberFormat="1" applyFont="1" applyBorder="1" applyAlignment="1" applyProtection="1">
      <alignment horizontal="right" wrapText="1"/>
      <protection locked="0"/>
    </xf>
    <xf numFmtId="0" fontId="115" fillId="0" borderId="1" xfId="4" applyFont="1" applyBorder="1" applyAlignment="1" applyProtection="1">
      <alignment horizontal="right" wrapText="1"/>
      <protection locked="0"/>
    </xf>
    <xf numFmtId="171" fontId="115" fillId="0" borderId="0" xfId="0" applyNumberFormat="1" applyFont="1" applyProtection="1">
      <protection locked="0"/>
    </xf>
    <xf numFmtId="0" fontId="115" fillId="6" borderId="1" xfId="3" applyFont="1" applyFill="1" applyBorder="1" applyAlignment="1" applyProtection="1">
      <alignment horizontal="left"/>
      <protection locked="0"/>
    </xf>
    <xf numFmtId="0" fontId="115" fillId="6" borderId="0" xfId="0" applyFont="1" applyFill="1" applyProtection="1">
      <protection locked="0"/>
    </xf>
    <xf numFmtId="4" fontId="115" fillId="6" borderId="1" xfId="4" applyNumberFormat="1" applyFont="1" applyFill="1" applyBorder="1" applyAlignment="1" applyProtection="1">
      <alignment horizontal="right" wrapText="1"/>
      <protection locked="0"/>
    </xf>
    <xf numFmtId="0" fontId="115" fillId="6" borderId="0" xfId="0" applyFont="1" applyFill="1" applyAlignment="1" applyProtection="1">
      <alignment horizontal="center"/>
      <protection locked="0"/>
    </xf>
    <xf numFmtId="3" fontId="115" fillId="6" borderId="1" xfId="4" applyNumberFormat="1" applyFont="1" applyFill="1" applyBorder="1" applyAlignment="1" applyProtection="1">
      <alignment horizontal="right" wrapText="1"/>
      <protection locked="0"/>
    </xf>
    <xf numFmtId="0" fontId="115" fillId="6" borderId="1" xfId="4" applyFont="1" applyFill="1" applyBorder="1" applyAlignment="1" applyProtection="1">
      <alignment horizontal="right" wrapText="1"/>
      <protection locked="0"/>
    </xf>
    <xf numFmtId="171" fontId="115" fillId="6" borderId="0" xfId="0" applyNumberFormat="1" applyFont="1" applyFill="1" applyProtection="1">
      <protection locked="0"/>
    </xf>
    <xf numFmtId="3" fontId="115" fillId="0" borderId="1" xfId="4" applyNumberFormat="1" applyFont="1" applyBorder="1" applyAlignment="1" applyProtection="1">
      <alignment horizontal="center" wrapText="1"/>
      <protection locked="0"/>
    </xf>
    <xf numFmtId="0" fontId="114" fillId="3" borderId="33" xfId="2" applyFont="1" applyFill="1" applyBorder="1" applyAlignment="1" applyProtection="1">
      <alignment horizontal="center"/>
      <protection locked="0"/>
    </xf>
    <xf numFmtId="171" fontId="114" fillId="3" borderId="33" xfId="0" applyNumberFormat="1" applyFont="1" applyFill="1" applyBorder="1" applyAlignment="1" applyProtection="1">
      <alignment horizontal="center"/>
      <protection locked="0"/>
    </xf>
    <xf numFmtId="0" fontId="115" fillId="0" borderId="1" xfId="2" applyFont="1" applyBorder="1" applyAlignment="1" applyProtection="1">
      <alignment horizontal="left"/>
      <protection locked="0"/>
    </xf>
    <xf numFmtId="171" fontId="115" fillId="6" borderId="0" xfId="4" applyNumberFormat="1" applyFont="1" applyFill="1" applyAlignment="1" applyProtection="1">
      <alignment horizontal="center"/>
      <protection locked="0"/>
    </xf>
    <xf numFmtId="0" fontId="115" fillId="6" borderId="0" xfId="4" applyFont="1" applyFill="1" applyAlignment="1" applyProtection="1">
      <alignment horizontal="center"/>
      <protection locked="0"/>
    </xf>
    <xf numFmtId="171" fontId="115" fillId="0" borderId="0" xfId="4" applyNumberFormat="1" applyFont="1" applyAlignment="1" applyProtection="1">
      <alignment horizontal="center"/>
      <protection locked="0"/>
    </xf>
    <xf numFmtId="0" fontId="115" fillId="0" borderId="0" xfId="4" applyFont="1" applyAlignment="1" applyProtection="1">
      <alignment horizontal="center"/>
      <protection locked="0"/>
    </xf>
    <xf numFmtId="2" fontId="106" fillId="0" borderId="46" xfId="0" applyNumberFormat="1" applyFont="1" applyBorder="1" applyAlignment="1">
      <alignment horizontal="center" vertical="center"/>
    </xf>
    <xf numFmtId="2" fontId="106" fillId="7" borderId="46" xfId="0" applyNumberFormat="1" applyFont="1" applyFill="1" applyBorder="1" applyAlignment="1" applyProtection="1">
      <alignment horizontal="center" vertical="center"/>
      <protection locked="0"/>
    </xf>
    <xf numFmtId="0" fontId="106" fillId="0" borderId="0" xfId="0" applyFont="1" applyAlignment="1">
      <alignment horizontal="center" vertical="center"/>
    </xf>
    <xf numFmtId="170" fontId="106" fillId="7" borderId="46" xfId="0" applyNumberFormat="1" applyFont="1" applyFill="1" applyBorder="1" applyAlignment="1" applyProtection="1">
      <alignment horizontal="center" vertical="center"/>
      <protection locked="0"/>
    </xf>
    <xf numFmtId="168" fontId="106" fillId="7" borderId="46" xfId="0" applyNumberFormat="1" applyFont="1" applyFill="1" applyBorder="1" applyAlignment="1" applyProtection="1">
      <alignment horizontal="center" vertical="center"/>
      <protection locked="0"/>
    </xf>
    <xf numFmtId="0" fontId="106" fillId="0" borderId="0" xfId="0" applyFont="1" applyAlignment="1" applyProtection="1">
      <alignment horizontal="center" vertical="center"/>
      <protection locked="0"/>
    </xf>
    <xf numFmtId="1" fontId="106" fillId="7" borderId="46" xfId="0" applyNumberFormat="1" applyFont="1" applyFill="1" applyBorder="1" applyAlignment="1" applyProtection="1">
      <alignment horizontal="center" vertical="center"/>
      <protection locked="0"/>
    </xf>
    <xf numFmtId="0" fontId="106" fillId="0" borderId="0" xfId="0" applyFont="1" applyAlignment="1">
      <alignment vertical="center"/>
    </xf>
    <xf numFmtId="167" fontId="106" fillId="0" borderId="46" xfId="0" applyNumberFormat="1" applyFont="1" applyBorder="1" applyAlignment="1" applyProtection="1">
      <alignment horizontal="center" vertical="center"/>
      <protection locked="0"/>
    </xf>
    <xf numFmtId="0" fontId="106" fillId="7" borderId="46" xfId="0" applyFont="1" applyFill="1" applyBorder="1" applyAlignment="1" applyProtection="1">
      <alignment horizontal="center" vertical="center"/>
      <protection locked="0"/>
    </xf>
    <xf numFmtId="2" fontId="82" fillId="0" borderId="0" xfId="0" applyNumberFormat="1" applyFont="1" applyAlignment="1">
      <alignment vertical="center"/>
    </xf>
    <xf numFmtId="0" fontId="85" fillId="0" borderId="46" xfId="0" applyFont="1" applyBorder="1" applyAlignment="1">
      <alignment horizontal="center" vertical="center"/>
    </xf>
    <xf numFmtId="0" fontId="5" fillId="0" borderId="65" xfId="0" applyFont="1" applyBorder="1" applyAlignment="1">
      <alignment horizontal="center" vertical="center"/>
    </xf>
    <xf numFmtId="0" fontId="5" fillId="0" borderId="0" xfId="0" applyFont="1" applyAlignment="1">
      <alignment horizontal="center" vertical="center"/>
    </xf>
    <xf numFmtId="0" fontId="5" fillId="0" borderId="66" xfId="0" applyFont="1" applyBorder="1" applyAlignment="1">
      <alignment horizontal="center" vertical="center"/>
    </xf>
    <xf numFmtId="0" fontId="85" fillId="0" borderId="64" xfId="0" applyFont="1" applyBorder="1" applyAlignment="1">
      <alignment horizontal="center" vertical="center"/>
    </xf>
    <xf numFmtId="0" fontId="85" fillId="0" borderId="64" xfId="0" applyFont="1" applyBorder="1" applyAlignment="1">
      <alignment horizontal="center"/>
    </xf>
    <xf numFmtId="0" fontId="85" fillId="0" borderId="44" xfId="0" applyFont="1" applyBorder="1" applyAlignment="1">
      <alignment horizontal="right" vertical="center"/>
    </xf>
    <xf numFmtId="0" fontId="85" fillId="0" borderId="45" xfId="0" applyFont="1" applyBorder="1" applyAlignment="1">
      <alignment horizontal="right" vertical="center"/>
    </xf>
    <xf numFmtId="0" fontId="85" fillId="0" borderId="48" xfId="0" applyFont="1" applyBorder="1" applyAlignment="1">
      <alignment horizontal="right" vertical="center"/>
    </xf>
    <xf numFmtId="0" fontId="41" fillId="0" borderId="0" xfId="0" applyFont="1" applyAlignment="1" applyProtection="1">
      <alignment horizontal="left" vertical="center"/>
      <protection hidden="1"/>
    </xf>
    <xf numFmtId="0" fontId="39" fillId="0" borderId="0" xfId="0" applyFont="1" applyProtection="1">
      <protection hidden="1"/>
    </xf>
    <xf numFmtId="0" fontId="45" fillId="0" borderId="0" xfId="0" applyFont="1" applyAlignment="1" applyProtection="1">
      <alignment horizontal="left" vertical="center"/>
      <protection hidden="1"/>
    </xf>
    <xf numFmtId="3" fontId="95" fillId="0" borderId="59" xfId="0" applyNumberFormat="1" applyFont="1" applyBorder="1" applyAlignment="1" applyProtection="1">
      <alignment horizontal="center"/>
      <protection locked="0"/>
    </xf>
    <xf numFmtId="0" fontId="95" fillId="0" borderId="60" xfId="0" applyFont="1" applyBorder="1" applyAlignment="1" applyProtection="1">
      <alignment horizontal="center"/>
      <protection locked="0"/>
    </xf>
    <xf numFmtId="0" fontId="31" fillId="0" borderId="0" xfId="0" applyFont="1" applyProtection="1">
      <protection hidden="1"/>
    </xf>
    <xf numFmtId="0" fontId="30" fillId="0" borderId="0" xfId="0" applyFont="1" applyAlignment="1" applyProtection="1">
      <alignment horizontal="right"/>
      <protection locked="0"/>
    </xf>
    <xf numFmtId="0" fontId="30" fillId="0" borderId="54" xfId="0" applyFont="1" applyBorder="1" applyAlignment="1" applyProtection="1">
      <alignment horizontal="right"/>
      <protection locked="0"/>
    </xf>
    <xf numFmtId="0" fontId="25" fillId="0" borderId="0" xfId="0" applyFont="1" applyProtection="1">
      <protection hidden="1"/>
    </xf>
    <xf numFmtId="0" fontId="23" fillId="0" borderId="0" xfId="0" applyFont="1" applyAlignment="1" applyProtection="1">
      <alignment horizontal="right"/>
      <protection locked="0"/>
    </xf>
    <xf numFmtId="0" fontId="23" fillId="0" borderId="54" xfId="0" applyFont="1" applyBorder="1" applyAlignment="1" applyProtection="1">
      <alignment horizontal="right"/>
      <protection locked="0"/>
    </xf>
    <xf numFmtId="0" fontId="94" fillId="0" borderId="59" xfId="0" applyFont="1" applyBorder="1" applyAlignment="1" applyProtection="1">
      <alignment horizontal="center" vertical="center"/>
      <protection locked="0"/>
    </xf>
    <xf numFmtId="0" fontId="94" fillId="0" borderId="60" xfId="0" applyFont="1" applyBorder="1" applyAlignment="1" applyProtection="1">
      <alignment horizontal="center" vertical="center"/>
      <protection locked="0"/>
    </xf>
    <xf numFmtId="0" fontId="40" fillId="0" borderId="0" xfId="0" applyFont="1" applyAlignment="1" applyProtection="1">
      <alignment horizontal="center"/>
      <protection hidden="1"/>
    </xf>
    <xf numFmtId="0" fontId="28" fillId="0" borderId="0" xfId="0" applyFont="1" applyAlignment="1" applyProtection="1">
      <alignment horizontal="left"/>
      <protection hidden="1"/>
    </xf>
    <xf numFmtId="0" fontId="10" fillId="0" borderId="0" xfId="0" applyFont="1" applyAlignment="1" applyProtection="1">
      <alignment horizontal="left"/>
      <protection hidden="1"/>
    </xf>
    <xf numFmtId="171" fontId="39" fillId="0" borderId="0" xfId="0" applyNumberFormat="1" applyFont="1" applyProtection="1">
      <protection hidden="1"/>
    </xf>
    <xf numFmtId="3" fontId="94" fillId="0" borderId="59" xfId="0" applyNumberFormat="1" applyFont="1" applyBorder="1" applyAlignment="1" applyProtection="1">
      <alignment horizontal="center"/>
      <protection locked="0"/>
    </xf>
    <xf numFmtId="0" fontId="94" fillId="0" borderId="60" xfId="0" applyFont="1" applyBorder="1" applyAlignment="1" applyProtection="1">
      <alignment horizontal="center"/>
      <protection locked="0"/>
    </xf>
    <xf numFmtId="3" fontId="94" fillId="0" borderId="59" xfId="0" applyNumberFormat="1" applyFont="1" applyBorder="1" applyAlignment="1" applyProtection="1">
      <alignment horizontal="center" vertical="center"/>
      <protection locked="0"/>
    </xf>
    <xf numFmtId="0" fontId="42" fillId="0" borderId="0" xfId="0" applyFont="1" applyAlignment="1" applyProtection="1">
      <alignment horizontal="center"/>
      <protection locked="0" hidden="1"/>
    </xf>
    <xf numFmtId="0" fontId="19" fillId="0" borderId="0" xfId="0" applyFont="1" applyAlignment="1" applyProtection="1">
      <alignment horizontal="center"/>
      <protection locked="0" hidden="1"/>
    </xf>
    <xf numFmtId="0" fontId="23" fillId="0" borderId="55" xfId="0" applyFont="1" applyBorder="1" applyAlignment="1" applyProtection="1">
      <alignment horizontal="center"/>
      <protection locked="0" hidden="1"/>
    </xf>
    <xf numFmtId="0" fontId="60" fillId="0" borderId="0" xfId="0" applyFont="1" applyAlignment="1" applyProtection="1">
      <alignment horizontal="center" vertical="center"/>
      <protection locked="0" hidden="1"/>
    </xf>
    <xf numFmtId="0" fontId="23" fillId="0" borderId="55" xfId="0" applyFont="1" applyBorder="1" applyAlignment="1" applyProtection="1">
      <alignment horizontal="center"/>
      <protection locked="0"/>
    </xf>
    <xf numFmtId="0" fontId="57" fillId="0" borderId="0" xfId="0" applyFont="1" applyAlignment="1" applyProtection="1">
      <alignment horizontal="center"/>
      <protection locked="0"/>
    </xf>
    <xf numFmtId="4" fontId="92" fillId="0" borderId="46" xfId="0" applyNumberFormat="1" applyFont="1" applyBorder="1" applyAlignment="1">
      <alignment horizontal="center" vertical="center"/>
    </xf>
    <xf numFmtId="4" fontId="85" fillId="0" borderId="46" xfId="0" applyNumberFormat="1" applyFont="1" applyBorder="1" applyAlignment="1">
      <alignment horizontal="center" vertical="center"/>
    </xf>
    <xf numFmtId="0" fontId="92" fillId="0" borderId="46" xfId="0" applyFont="1" applyBorder="1" applyAlignment="1">
      <alignment horizontal="center" vertical="center"/>
    </xf>
    <xf numFmtId="3" fontId="92" fillId="14" borderId="46" xfId="0" applyNumberFormat="1" applyFont="1" applyFill="1" applyBorder="1" applyAlignment="1">
      <alignment horizontal="center" vertical="center"/>
    </xf>
    <xf numFmtId="4" fontId="92" fillId="14" borderId="44" xfId="0" applyNumberFormat="1" applyFont="1" applyFill="1" applyBorder="1" applyAlignment="1">
      <alignment horizontal="center" vertical="center"/>
    </xf>
    <xf numFmtId="4" fontId="92" fillId="14" borderId="45" xfId="0" applyNumberFormat="1" applyFont="1" applyFill="1" applyBorder="1" applyAlignment="1">
      <alignment horizontal="center" vertical="center"/>
    </xf>
    <xf numFmtId="4" fontId="92" fillId="14" borderId="46" xfId="0" applyNumberFormat="1" applyFont="1" applyFill="1" applyBorder="1" applyAlignment="1">
      <alignment horizontal="center" vertical="center"/>
    </xf>
    <xf numFmtId="0" fontId="82" fillId="0" borderId="0" xfId="0" applyFont="1" applyAlignment="1">
      <alignment horizontal="justify" vertical="top" wrapText="1"/>
    </xf>
    <xf numFmtId="0" fontId="92" fillId="0" borderId="61" xfId="0" applyFont="1" applyBorder="1" applyAlignment="1">
      <alignment horizontal="center" vertical="center" wrapText="1"/>
    </xf>
    <xf numFmtId="0" fontId="92" fillId="0" borderId="62" xfId="0" applyFont="1" applyBorder="1" applyAlignment="1">
      <alignment horizontal="center" vertical="center" wrapText="1"/>
    </xf>
    <xf numFmtId="0" fontId="92" fillId="0" borderId="63" xfId="0" applyFont="1" applyBorder="1" applyAlignment="1">
      <alignment horizontal="center" vertical="center" wrapText="1"/>
    </xf>
    <xf numFmtId="0" fontId="82" fillId="0" borderId="57" xfId="0" applyFont="1" applyBorder="1" applyAlignment="1">
      <alignment horizontal="center" vertical="center" wrapText="1"/>
    </xf>
    <xf numFmtId="0" fontId="82" fillId="0" borderId="64" xfId="0" applyFont="1" applyBorder="1" applyAlignment="1">
      <alignment horizontal="center" vertical="center" wrapText="1"/>
    </xf>
    <xf numFmtId="0" fontId="82" fillId="0" borderId="56" xfId="0" applyFont="1" applyBorder="1" applyAlignment="1">
      <alignment horizontal="center" vertical="center" wrapText="1"/>
    </xf>
    <xf numFmtId="0" fontId="98" fillId="0" borderId="0" xfId="0" applyFont="1" applyAlignment="1">
      <alignment horizontal="center" vertical="center"/>
    </xf>
    <xf numFmtId="0" fontId="5" fillId="0" borderId="46" xfId="0" applyFont="1" applyBorder="1" applyAlignment="1">
      <alignment horizontal="left" vertical="center" wrapText="1"/>
    </xf>
    <xf numFmtId="0" fontId="83" fillId="0" borderId="44" xfId="0" applyFont="1" applyBorder="1" applyAlignment="1">
      <alignment horizontal="center" vertical="center" wrapText="1"/>
    </xf>
    <xf numFmtId="0" fontId="83" fillId="0" borderId="45" xfId="0" applyFont="1" applyBorder="1" applyAlignment="1">
      <alignment horizontal="center" vertical="center" wrapText="1"/>
    </xf>
    <xf numFmtId="0" fontId="83" fillId="0" borderId="48" xfId="0" applyFont="1" applyBorder="1" applyAlignment="1">
      <alignment horizontal="center" vertical="center" wrapText="1"/>
    </xf>
    <xf numFmtId="0" fontId="83" fillId="0" borderId="46" xfId="0" applyFont="1" applyBorder="1" applyAlignment="1">
      <alignment horizontal="left" vertical="center" wrapText="1"/>
    </xf>
    <xf numFmtId="0" fontId="37" fillId="0" borderId="0" xfId="0" applyFont="1"/>
    <xf numFmtId="0" fontId="38" fillId="0" borderId="0" xfId="0" applyFont="1"/>
    <xf numFmtId="0" fontId="47" fillId="0" borderId="0" xfId="0" applyFont="1" applyAlignment="1" applyProtection="1">
      <alignment horizontal="left"/>
      <protection hidden="1"/>
    </xf>
    <xf numFmtId="0" fontId="35" fillId="0" borderId="0" xfId="0" applyFont="1"/>
    <xf numFmtId="0" fontId="32" fillId="0" borderId="0" xfId="0" applyFont="1"/>
    <xf numFmtId="0" fontId="33" fillId="0" borderId="0" xfId="0" applyFont="1"/>
    <xf numFmtId="0" fontId="33" fillId="0" borderId="0" xfId="0" applyFont="1" applyAlignment="1">
      <alignment wrapText="1"/>
    </xf>
  </cellXfs>
  <cellStyles count="5">
    <cellStyle name="Migliaia" xfId="1" builtinId="3"/>
    <cellStyle name="Normale" xfId="0" builtinId="0"/>
    <cellStyle name="Normale_Comuni" xfId="2" xr:uid="{00000000-0005-0000-0000-000002000000}"/>
    <cellStyle name="Normale_Consorzi" xfId="3" xr:uid="{00000000-0005-0000-0000-000003000000}"/>
    <cellStyle name="Normale_Delibere" xfId="4" xr:uid="{00000000-0005-0000-0000-000004000000}"/>
  </cellStyles>
  <dxfs count="12">
    <dxf>
      <font>
        <color rgb="FFFF0000"/>
      </font>
    </dxf>
    <dxf>
      <font>
        <color rgb="FF006600"/>
      </font>
    </dxf>
    <dxf>
      <font>
        <color rgb="FF006600"/>
      </font>
    </dxf>
    <dxf>
      <font>
        <color rgb="FFFF0000"/>
      </font>
    </dxf>
    <dxf>
      <font>
        <color rgb="FFFF0000"/>
      </font>
    </dxf>
    <dxf>
      <font>
        <color rgb="FF006600"/>
      </font>
    </dxf>
    <dxf>
      <font>
        <color rgb="FF006600"/>
      </font>
    </dxf>
    <dxf>
      <font>
        <color rgb="FFFF0000"/>
      </font>
    </dxf>
    <dxf>
      <font>
        <color rgb="FFFF0000"/>
      </font>
    </dxf>
    <dxf>
      <font>
        <color rgb="FF006600"/>
      </font>
    </dxf>
    <dxf>
      <font>
        <color rgb="FF0066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47625</xdr:rowOff>
    </xdr:from>
    <xdr:to>
      <xdr:col>0</xdr:col>
      <xdr:colOff>1552574</xdr:colOff>
      <xdr:row>0</xdr:row>
      <xdr:rowOff>276225</xdr:rowOff>
    </xdr:to>
    <xdr:pic>
      <xdr:nvPicPr>
        <xdr:cNvPr id="4" name="Immagine 2">
          <a:extLst>
            <a:ext uri="{FF2B5EF4-FFF2-40B4-BE49-F238E27FC236}">
              <a16:creationId xmlns:a16="http://schemas.microsoft.com/office/drawing/2014/main" id="{00000000-0008-0000-00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144779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618471</xdr:colOff>
      <xdr:row>8</xdr:row>
      <xdr:rowOff>4331</xdr:rowOff>
    </xdr:from>
    <xdr:to>
      <xdr:col>7</xdr:col>
      <xdr:colOff>644971</xdr:colOff>
      <xdr:row>18</xdr:row>
      <xdr:rowOff>69273</xdr:rowOff>
    </xdr:to>
    <xdr:pic>
      <xdr:nvPicPr>
        <xdr:cNvPr id="18" name="Immagin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8471" y="1121354"/>
          <a:ext cx="5057432" cy="1666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47625</xdr:rowOff>
    </xdr:from>
    <xdr:to>
      <xdr:col>0</xdr:col>
      <xdr:colOff>1466849</xdr:colOff>
      <xdr:row>0</xdr:row>
      <xdr:rowOff>276225</xdr:rowOff>
    </xdr:to>
    <xdr:pic>
      <xdr:nvPicPr>
        <xdr:cNvPr id="2" name="Immagine 2">
          <a:extLst>
            <a:ext uri="{FF2B5EF4-FFF2-40B4-BE49-F238E27FC236}">
              <a16:creationId xmlns:a16="http://schemas.microsoft.com/office/drawing/2014/main" id="{00000000-0008-0000-01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625"/>
          <a:ext cx="144779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38100</xdr:colOff>
      <xdr:row>0</xdr:row>
      <xdr:rowOff>9525</xdr:rowOff>
    </xdr:from>
    <xdr:to>
      <xdr:col>3</xdr:col>
      <xdr:colOff>495300</xdr:colOff>
      <xdr:row>2</xdr:row>
      <xdr:rowOff>104775</xdr:rowOff>
    </xdr:to>
    <xdr:pic>
      <xdr:nvPicPr>
        <xdr:cNvPr id="1123" name="Picture 27" descr="logo">
          <a:extLst>
            <a:ext uri="{FF2B5EF4-FFF2-40B4-BE49-F238E27FC236}">
              <a16:creationId xmlns:a16="http://schemas.microsoft.com/office/drawing/2014/main" id="{00000000-0008-0000-0200-00006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 y="9525"/>
          <a:ext cx="457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0</xdr:rowOff>
    </xdr:from>
    <xdr:to>
      <xdr:col>0</xdr:col>
      <xdr:colOff>514350</xdr:colOff>
      <xdr:row>2</xdr:row>
      <xdr:rowOff>133350</xdr:rowOff>
    </xdr:to>
    <xdr:pic>
      <xdr:nvPicPr>
        <xdr:cNvPr id="2124" name="Picture 8" descr="logo">
          <a:extLst>
            <a:ext uri="{FF2B5EF4-FFF2-40B4-BE49-F238E27FC236}">
              <a16:creationId xmlns:a16="http://schemas.microsoft.com/office/drawing/2014/main" id="{00000000-0008-0000-0300-00004C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457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76200</xdr:colOff>
      <xdr:row>0</xdr:row>
      <xdr:rowOff>76200</xdr:rowOff>
    </xdr:from>
    <xdr:to>
      <xdr:col>0</xdr:col>
      <xdr:colOff>533400</xdr:colOff>
      <xdr:row>3</xdr:row>
      <xdr:rowOff>66675</xdr:rowOff>
    </xdr:to>
    <xdr:pic>
      <xdr:nvPicPr>
        <xdr:cNvPr id="5187" name="Picture 1" descr="logo">
          <a:extLst>
            <a:ext uri="{FF2B5EF4-FFF2-40B4-BE49-F238E27FC236}">
              <a16:creationId xmlns:a16="http://schemas.microsoft.com/office/drawing/2014/main" id="{00000000-0008-0000-0400-000043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79376</xdr:rowOff>
    </xdr:from>
    <xdr:to>
      <xdr:col>0</xdr:col>
      <xdr:colOff>468313</xdr:colOff>
      <xdr:row>1</xdr:row>
      <xdr:rowOff>163267</xdr:rowOff>
    </xdr:to>
    <xdr:pic>
      <xdr:nvPicPr>
        <xdr:cNvPr id="2" name="Immagine 1"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79376"/>
          <a:ext cx="404813" cy="31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47625</xdr:colOff>
      <xdr:row>0</xdr:row>
      <xdr:rowOff>9525</xdr:rowOff>
    </xdr:from>
    <xdr:to>
      <xdr:col>2</xdr:col>
      <xdr:colOff>9525</xdr:colOff>
      <xdr:row>0</xdr:row>
      <xdr:rowOff>428625</xdr:rowOff>
    </xdr:to>
    <xdr:pic>
      <xdr:nvPicPr>
        <xdr:cNvPr id="4164" name="Picture 2" descr="logo">
          <a:extLst>
            <a:ext uri="{FF2B5EF4-FFF2-40B4-BE49-F238E27FC236}">
              <a16:creationId xmlns:a16="http://schemas.microsoft.com/office/drawing/2014/main" id="{00000000-0008-0000-0900-000044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
          <a:ext cx="457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7"/>
  <dimension ref="A1:I97"/>
  <sheetViews>
    <sheetView showGridLines="0" tabSelected="1" zoomScale="148" zoomScaleNormal="148" workbookViewId="0">
      <pane xSplit="1" ySplit="6" topLeftCell="B7" activePane="bottomRight" state="frozen"/>
      <selection pane="topRight" activeCell="B1" sqref="B1"/>
      <selection pane="bottomLeft" activeCell="A6" sqref="A6"/>
      <selection pane="bottomRight" activeCell="D50" sqref="D50"/>
    </sheetView>
  </sheetViews>
  <sheetFormatPr defaultColWidth="9.140625" defaultRowHeight="12.75"/>
  <cols>
    <col min="1" max="1" width="24.140625" style="491" customWidth="1"/>
    <col min="2" max="2" width="9.140625" style="364"/>
    <col min="3" max="3" width="5.85546875" style="364" customWidth="1"/>
    <col min="4" max="4" width="13.7109375" style="364" customWidth="1"/>
    <col min="5" max="5" width="3.140625" style="364" customWidth="1"/>
    <col min="6" max="9" width="9.7109375" style="364" customWidth="1"/>
    <col min="10" max="22" width="7.7109375" style="364" customWidth="1"/>
    <col min="23" max="16384" width="9.140625" style="364"/>
  </cols>
  <sheetData>
    <row r="1" spans="1:9" ht="25.5" customHeight="1">
      <c r="A1" s="574" t="s">
        <v>612</v>
      </c>
      <c r="B1" s="574"/>
      <c r="C1" s="574"/>
      <c r="D1" s="574"/>
      <c r="E1" s="574"/>
      <c r="F1" s="574"/>
      <c r="G1" s="574"/>
      <c r="H1" s="574"/>
      <c r="I1" s="574"/>
    </row>
    <row r="2" spans="1:9" ht="6" customHeight="1"/>
    <row r="3" spans="1:9" ht="6" customHeight="1">
      <c r="A3" s="520"/>
      <c r="B3" s="521"/>
      <c r="C3" s="521"/>
      <c r="D3" s="521"/>
      <c r="E3" s="521"/>
      <c r="F3" s="521"/>
      <c r="G3" s="521"/>
      <c r="H3" s="521"/>
      <c r="I3" s="522"/>
    </row>
    <row r="4" spans="1:9">
      <c r="A4" s="532"/>
      <c r="G4" s="490"/>
      <c r="H4" s="487" t="s">
        <v>593</v>
      </c>
      <c r="I4" s="524"/>
    </row>
    <row r="5" spans="1:9" ht="6" customHeight="1">
      <c r="A5" s="523"/>
      <c r="G5" s="490"/>
      <c r="H5" s="487"/>
      <c r="I5" s="525"/>
    </row>
    <row r="6" spans="1:9">
      <c r="A6" s="523"/>
      <c r="G6" s="490"/>
      <c r="H6" s="487" t="s">
        <v>594</v>
      </c>
      <c r="I6" s="526"/>
    </row>
    <row r="7" spans="1:9" ht="6" customHeight="1">
      <c r="A7" s="523"/>
      <c r="G7" s="490"/>
      <c r="H7" s="487"/>
      <c r="I7" s="525"/>
    </row>
    <row r="8" spans="1:9">
      <c r="A8" s="575" t="s">
        <v>608</v>
      </c>
      <c r="B8" s="576"/>
      <c r="C8" s="576"/>
      <c r="D8" s="576"/>
      <c r="E8" s="576"/>
      <c r="F8" s="576"/>
      <c r="G8" s="576"/>
      <c r="H8" s="576"/>
      <c r="I8" s="577"/>
    </row>
    <row r="9" spans="1:9">
      <c r="A9" s="523"/>
      <c r="G9" s="490"/>
      <c r="H9" s="487"/>
      <c r="I9" s="525"/>
    </row>
    <row r="10" spans="1:9">
      <c r="A10" s="523"/>
      <c r="G10" s="490"/>
      <c r="H10" s="487"/>
      <c r="I10" s="525"/>
    </row>
    <row r="11" spans="1:9">
      <c r="A11" s="523"/>
      <c r="G11" s="490"/>
      <c r="H11" s="487"/>
      <c r="I11" s="525"/>
    </row>
    <row r="12" spans="1:9">
      <c r="A12" s="523"/>
      <c r="G12" s="490"/>
      <c r="H12" s="487"/>
      <c r="I12" s="525"/>
    </row>
    <row r="13" spans="1:9">
      <c r="A13" s="523"/>
      <c r="G13" s="490"/>
      <c r="H13" s="487"/>
      <c r="I13" s="525"/>
    </row>
    <row r="14" spans="1:9">
      <c r="A14" s="523"/>
      <c r="G14" s="490"/>
      <c r="H14" s="487"/>
      <c r="I14" s="525"/>
    </row>
    <row r="15" spans="1:9">
      <c r="A15" s="523"/>
      <c r="G15" s="490"/>
      <c r="H15" s="487"/>
      <c r="I15" s="525"/>
    </row>
    <row r="16" spans="1:9">
      <c r="A16" s="523"/>
      <c r="G16" s="490"/>
      <c r="H16" s="487"/>
      <c r="I16" s="525"/>
    </row>
    <row r="17" spans="1:9">
      <c r="A17" s="523"/>
      <c r="G17" s="490"/>
      <c r="H17" s="487"/>
      <c r="I17" s="525"/>
    </row>
    <row r="18" spans="1:9">
      <c r="A18" s="523"/>
      <c r="G18" s="490"/>
      <c r="H18" s="487"/>
      <c r="I18" s="525"/>
    </row>
    <row r="19" spans="1:9">
      <c r="A19" s="527"/>
      <c r="B19" s="528"/>
      <c r="C19" s="528"/>
      <c r="D19" s="528"/>
      <c r="E19" s="528"/>
      <c r="F19" s="528"/>
      <c r="G19" s="529"/>
      <c r="H19" s="530"/>
      <c r="I19" s="531"/>
    </row>
    <row r="20" spans="1:9">
      <c r="G20" s="490"/>
      <c r="H20" s="487"/>
    </row>
    <row r="21" spans="1:9" ht="6" customHeight="1"/>
    <row r="22" spans="1:9">
      <c r="A22" s="486" t="s">
        <v>256</v>
      </c>
      <c r="D22" s="488"/>
      <c r="E22" s="484"/>
      <c r="F22" s="490" t="s">
        <v>595</v>
      </c>
      <c r="G22" s="490"/>
      <c r="H22" s="490"/>
      <c r="I22" s="490"/>
    </row>
    <row r="23" spans="1:9" ht="6" customHeight="1">
      <c r="A23" s="515"/>
      <c r="F23" s="490"/>
      <c r="G23" s="490"/>
      <c r="H23" s="490"/>
      <c r="I23" s="490"/>
    </row>
    <row r="24" spans="1:9">
      <c r="A24" s="486" t="s">
        <v>297</v>
      </c>
      <c r="D24" s="488"/>
      <c r="E24" s="484"/>
      <c r="F24" s="490" t="s">
        <v>611</v>
      </c>
      <c r="G24" s="490"/>
      <c r="H24" s="490"/>
      <c r="I24" s="490"/>
    </row>
    <row r="25" spans="1:9" ht="6" customHeight="1">
      <c r="A25" s="515"/>
      <c r="F25" s="490"/>
      <c r="G25" s="490"/>
      <c r="H25" s="490"/>
      <c r="I25" s="490"/>
    </row>
    <row r="26" spans="1:9">
      <c r="A26" s="515" t="s">
        <v>439</v>
      </c>
      <c r="D26" s="488"/>
      <c r="E26" s="484"/>
      <c r="F26" s="490" t="s">
        <v>596</v>
      </c>
      <c r="G26" s="490"/>
      <c r="H26" s="490"/>
      <c r="I26" s="490"/>
    </row>
    <row r="27" spans="1:9" ht="6" customHeight="1">
      <c r="A27" s="515"/>
      <c r="F27" s="490"/>
      <c r="G27" s="490"/>
      <c r="H27" s="490"/>
      <c r="I27" s="490"/>
    </row>
    <row r="28" spans="1:9">
      <c r="A28" s="515" t="s">
        <v>440</v>
      </c>
      <c r="D28" s="488"/>
      <c r="E28" s="484"/>
      <c r="F28" s="490" t="s">
        <v>600</v>
      </c>
      <c r="G28" s="490"/>
      <c r="H28" s="490"/>
      <c r="I28" s="490"/>
    </row>
    <row r="29" spans="1:9" ht="6" customHeight="1">
      <c r="A29" s="515"/>
      <c r="F29" s="490"/>
      <c r="G29" s="490"/>
      <c r="H29" s="490"/>
      <c r="I29" s="490"/>
    </row>
    <row r="30" spans="1:9">
      <c r="A30" s="515" t="s">
        <v>114</v>
      </c>
      <c r="D30" s="488"/>
      <c r="E30" s="484"/>
      <c r="F30" s="490" t="s">
        <v>601</v>
      </c>
      <c r="G30" s="490"/>
      <c r="H30" s="490"/>
      <c r="I30" s="490"/>
    </row>
    <row r="31" spans="1:9" ht="6" customHeight="1">
      <c r="A31" s="515"/>
      <c r="F31" s="490"/>
      <c r="G31" s="490"/>
      <c r="H31" s="490"/>
      <c r="I31" s="490"/>
    </row>
    <row r="32" spans="1:9">
      <c r="A32" s="515" t="s">
        <v>606</v>
      </c>
      <c r="D32" s="488"/>
      <c r="E32" s="484"/>
      <c r="F32" s="490" t="s">
        <v>604</v>
      </c>
      <c r="G32" s="490"/>
      <c r="H32" s="490"/>
      <c r="I32" s="490"/>
    </row>
    <row r="33" spans="1:9" ht="6" customHeight="1">
      <c r="A33" s="515"/>
      <c r="F33" s="490"/>
      <c r="G33" s="490"/>
      <c r="H33" s="490"/>
      <c r="I33" s="490"/>
    </row>
    <row r="34" spans="1:9">
      <c r="A34" s="516" t="s">
        <v>431</v>
      </c>
      <c r="B34" s="492"/>
      <c r="D34" s="488"/>
      <c r="E34" s="484"/>
      <c r="F34" s="490" t="s">
        <v>597</v>
      </c>
      <c r="G34" s="490"/>
      <c r="H34" s="490"/>
      <c r="I34" s="490"/>
    </row>
    <row r="35" spans="1:9" ht="6" customHeight="1">
      <c r="A35" s="516"/>
      <c r="B35" s="492"/>
      <c r="F35" s="490"/>
      <c r="G35" s="490"/>
      <c r="H35" s="490"/>
      <c r="I35" s="490"/>
    </row>
    <row r="36" spans="1:9">
      <c r="A36" s="516" t="s">
        <v>432</v>
      </c>
      <c r="B36" s="492"/>
      <c r="D36" s="488"/>
      <c r="E36" s="484"/>
      <c r="F36" s="490" t="s">
        <v>609</v>
      </c>
      <c r="G36" s="490"/>
      <c r="H36" s="490"/>
      <c r="I36" s="490"/>
    </row>
    <row r="37" spans="1:9" ht="6" customHeight="1">
      <c r="A37" s="516"/>
      <c r="B37" s="492"/>
      <c r="F37" s="490"/>
      <c r="G37" s="490"/>
      <c r="H37" s="490"/>
      <c r="I37" s="490"/>
    </row>
    <row r="38" spans="1:9">
      <c r="A38" s="516" t="s">
        <v>607</v>
      </c>
      <c r="B38" s="492"/>
      <c r="D38" s="488"/>
      <c r="E38" s="484"/>
      <c r="F38" s="490" t="s">
        <v>598</v>
      </c>
      <c r="G38" s="490"/>
      <c r="H38" s="490"/>
      <c r="I38" s="490"/>
    </row>
    <row r="39" spans="1:9" ht="6" customHeight="1">
      <c r="F39" s="490"/>
      <c r="G39" s="490"/>
      <c r="H39" s="490"/>
      <c r="I39" s="490"/>
    </row>
    <row r="40" spans="1:9">
      <c r="A40" s="486" t="s">
        <v>442</v>
      </c>
      <c r="B40" s="493"/>
      <c r="F40" s="490"/>
      <c r="G40" s="490"/>
      <c r="H40" s="490"/>
      <c r="I40" s="490"/>
    </row>
    <row r="41" spans="1:9">
      <c r="A41" s="494" t="s">
        <v>4</v>
      </c>
      <c r="B41" s="495" t="s">
        <v>472</v>
      </c>
      <c r="D41" s="489"/>
      <c r="E41" s="485"/>
      <c r="F41" s="490" t="s">
        <v>602</v>
      </c>
      <c r="G41" s="490"/>
      <c r="H41" s="490"/>
      <c r="I41" s="490"/>
    </row>
    <row r="42" spans="1:9">
      <c r="A42" s="494" t="s">
        <v>444</v>
      </c>
      <c r="B42" s="495" t="s">
        <v>445</v>
      </c>
      <c r="D42" s="489"/>
      <c r="E42" s="485"/>
      <c r="F42" s="490" t="s">
        <v>602</v>
      </c>
      <c r="G42" s="490"/>
      <c r="H42" s="490"/>
      <c r="I42" s="490"/>
    </row>
    <row r="43" spans="1:9">
      <c r="A43" s="494" t="s">
        <v>11</v>
      </c>
      <c r="B43" s="496" t="s">
        <v>300</v>
      </c>
      <c r="D43" s="489"/>
      <c r="E43" s="485"/>
      <c r="F43" s="490" t="s">
        <v>602</v>
      </c>
      <c r="G43" s="490"/>
      <c r="H43" s="490"/>
      <c r="I43" s="490"/>
    </row>
    <row r="44" spans="1:9">
      <c r="A44" s="494" t="s">
        <v>12</v>
      </c>
      <c r="B44" s="496" t="s">
        <v>300</v>
      </c>
      <c r="D44" s="489"/>
      <c r="E44" s="485"/>
      <c r="F44" s="490" t="s">
        <v>602</v>
      </c>
      <c r="G44" s="490"/>
      <c r="H44" s="490"/>
      <c r="I44" s="490"/>
    </row>
    <row r="45" spans="1:9">
      <c r="A45" s="494" t="s">
        <v>443</v>
      </c>
      <c r="B45" s="496" t="s">
        <v>300</v>
      </c>
      <c r="D45" s="489"/>
      <c r="E45" s="485"/>
      <c r="F45" s="490" t="s">
        <v>602</v>
      </c>
      <c r="G45" s="490"/>
      <c r="H45" s="490"/>
      <c r="I45" s="490"/>
    </row>
    <row r="46" spans="1:9">
      <c r="A46" s="497" t="s">
        <v>414</v>
      </c>
      <c r="B46" s="496" t="s">
        <v>300</v>
      </c>
      <c r="D46" s="489"/>
      <c r="E46" s="485"/>
      <c r="F46" s="490" t="s">
        <v>602</v>
      </c>
      <c r="G46" s="490"/>
      <c r="H46" s="490"/>
      <c r="I46" s="490"/>
    </row>
    <row r="47" spans="1:9">
      <c r="A47" s="494" t="s">
        <v>415</v>
      </c>
      <c r="B47" s="496" t="s">
        <v>300</v>
      </c>
      <c r="D47" s="489"/>
      <c r="E47" s="485"/>
      <c r="F47" s="490" t="s">
        <v>602</v>
      </c>
      <c r="G47" s="490"/>
      <c r="H47" s="490"/>
      <c r="I47" s="490"/>
    </row>
    <row r="49" spans="1:9">
      <c r="A49" s="498" t="s">
        <v>117</v>
      </c>
      <c r="B49" s="499"/>
      <c r="C49" s="499"/>
      <c r="D49" s="500"/>
      <c r="E49" s="501"/>
      <c r="I49" s="502" t="s">
        <v>599</v>
      </c>
    </row>
    <row r="50" spans="1:9">
      <c r="A50" s="494" t="s">
        <v>4</v>
      </c>
      <c r="B50" s="495" t="s">
        <v>472</v>
      </c>
      <c r="C50" s="499"/>
      <c r="D50" s="503">
        <f>mc</f>
        <v>0</v>
      </c>
      <c r="E50" s="504"/>
      <c r="H50" s="487" t="s">
        <v>613</v>
      </c>
      <c r="I50" s="517"/>
    </row>
    <row r="51" spans="1:9">
      <c r="A51" s="494" t="s">
        <v>444</v>
      </c>
      <c r="B51" s="495" t="s">
        <v>445</v>
      </c>
      <c r="C51" s="499"/>
      <c r="D51" s="503">
        <f>col</f>
        <v>0</v>
      </c>
      <c r="E51" s="504"/>
      <c r="H51" s="487" t="s">
        <v>592</v>
      </c>
      <c r="I51" s="517"/>
    </row>
    <row r="52" spans="1:9">
      <c r="A52" s="494" t="s">
        <v>11</v>
      </c>
      <c r="B52" s="496" t="s">
        <v>300</v>
      </c>
      <c r="C52" s="499"/>
      <c r="D52" s="503">
        <f>cod</f>
        <v>0</v>
      </c>
      <c r="E52" s="504"/>
      <c r="H52" s="487" t="s">
        <v>592</v>
      </c>
      <c r="I52" s="517"/>
    </row>
    <row r="53" spans="1:9">
      <c r="A53" s="494" t="s">
        <v>12</v>
      </c>
      <c r="B53" s="496" t="s">
        <v>300</v>
      </c>
      <c r="C53" s="499"/>
      <c r="D53" s="503">
        <f>bod</f>
        <v>0</v>
      </c>
      <c r="E53" s="504"/>
      <c r="H53" s="487" t="s">
        <v>592</v>
      </c>
      <c r="I53" s="517"/>
    </row>
    <row r="54" spans="1:9">
      <c r="A54" s="497" t="s">
        <v>443</v>
      </c>
      <c r="B54" s="505" t="s">
        <v>300</v>
      </c>
      <c r="C54" s="499"/>
      <c r="D54" s="503">
        <f>sst</f>
        <v>0</v>
      </c>
      <c r="E54" s="504"/>
      <c r="H54" s="487" t="s">
        <v>592</v>
      </c>
      <c r="I54" s="518"/>
    </row>
    <row r="55" spans="1:9">
      <c r="A55" s="497" t="s">
        <v>414</v>
      </c>
      <c r="B55" s="505" t="s">
        <v>300</v>
      </c>
      <c r="C55" s="499"/>
      <c r="D55" s="507">
        <f>Tariffa_old!C28</f>
        <v>0</v>
      </c>
      <c r="E55" s="506"/>
      <c r="H55" s="487" t="s">
        <v>592</v>
      </c>
      <c r="I55" s="519"/>
    </row>
    <row r="56" spans="1:9">
      <c r="A56" s="494" t="s">
        <v>415</v>
      </c>
      <c r="B56" s="496" t="s">
        <v>300</v>
      </c>
      <c r="C56" s="499"/>
      <c r="D56" s="507">
        <f>Tariffa_old!C29</f>
        <v>0</v>
      </c>
      <c r="E56" s="508"/>
      <c r="H56" s="487" t="s">
        <v>592</v>
      </c>
      <c r="I56" s="519"/>
    </row>
    <row r="57" spans="1:9">
      <c r="C57" s="499"/>
    </row>
    <row r="58" spans="1:9">
      <c r="C58" s="499"/>
    </row>
    <row r="59" spans="1:9">
      <c r="A59" s="498" t="s">
        <v>603</v>
      </c>
      <c r="B59" s="499"/>
      <c r="C59" s="501"/>
      <c r="F59" s="509" t="s">
        <v>446</v>
      </c>
      <c r="G59" s="509" t="s">
        <v>447</v>
      </c>
      <c r="H59" s="509" t="s">
        <v>448</v>
      </c>
      <c r="I59" s="509" t="s">
        <v>449</v>
      </c>
    </row>
    <row r="60" spans="1:9">
      <c r="A60" s="364" t="s">
        <v>590</v>
      </c>
      <c r="F60" s="510"/>
      <c r="G60" s="510"/>
      <c r="H60" s="510"/>
      <c r="I60" s="510"/>
    </row>
    <row r="61" spans="1:9">
      <c r="A61" s="494" t="s">
        <v>4</v>
      </c>
      <c r="B61" s="495" t="s">
        <v>472</v>
      </c>
      <c r="C61" s="490"/>
      <c r="D61" s="487" t="s">
        <v>591</v>
      </c>
      <c r="F61" s="511"/>
      <c r="G61" s="511"/>
      <c r="H61" s="511"/>
      <c r="I61" s="511"/>
    </row>
    <row r="62" spans="1:9">
      <c r="A62" s="494" t="s">
        <v>444</v>
      </c>
      <c r="B62" s="495" t="s">
        <v>445</v>
      </c>
      <c r="F62" s="511"/>
      <c r="G62" s="511"/>
      <c r="H62" s="511"/>
      <c r="I62" s="511"/>
    </row>
    <row r="63" spans="1:9">
      <c r="A63" s="494" t="s">
        <v>11</v>
      </c>
      <c r="B63" s="496" t="s">
        <v>300</v>
      </c>
      <c r="F63" s="511"/>
      <c r="G63" s="511"/>
      <c r="H63" s="511"/>
      <c r="I63" s="511"/>
    </row>
    <row r="64" spans="1:9">
      <c r="A64" s="494" t="s">
        <v>12</v>
      </c>
      <c r="B64" s="496" t="s">
        <v>300</v>
      </c>
      <c r="F64" s="511"/>
      <c r="G64" s="511"/>
      <c r="H64" s="511"/>
      <c r="I64" s="511"/>
    </row>
    <row r="65" spans="1:9">
      <c r="A65" s="497" t="s">
        <v>443</v>
      </c>
      <c r="B65" s="505" t="s">
        <v>300</v>
      </c>
      <c r="F65" s="514"/>
      <c r="G65" s="514"/>
      <c r="H65" s="514"/>
      <c r="I65" s="514"/>
    </row>
    <row r="66" spans="1:9">
      <c r="A66" s="497" t="s">
        <v>414</v>
      </c>
      <c r="B66" s="505" t="s">
        <v>300</v>
      </c>
      <c r="F66" s="512"/>
      <c r="G66" s="512"/>
      <c r="H66" s="512"/>
      <c r="I66" s="512"/>
    </row>
    <row r="67" spans="1:9">
      <c r="A67" s="494" t="s">
        <v>415</v>
      </c>
      <c r="B67" s="496" t="s">
        <v>300</v>
      </c>
      <c r="F67" s="512"/>
      <c r="G67" s="512"/>
      <c r="H67" s="512"/>
      <c r="I67" s="512"/>
    </row>
    <row r="69" spans="1:9">
      <c r="F69" s="509" t="s">
        <v>450</v>
      </c>
      <c r="G69" s="509" t="s">
        <v>451</v>
      </c>
      <c r="H69" s="509" t="s">
        <v>452</v>
      </c>
      <c r="I69" s="509" t="s">
        <v>453</v>
      </c>
    </row>
    <row r="70" spans="1:9">
      <c r="A70" s="364" t="s">
        <v>590</v>
      </c>
      <c r="F70" s="510"/>
      <c r="G70" s="510"/>
      <c r="H70" s="510"/>
      <c r="I70" s="510"/>
    </row>
    <row r="71" spans="1:9">
      <c r="A71" s="494" t="s">
        <v>4</v>
      </c>
      <c r="B71" s="495" t="s">
        <v>472</v>
      </c>
      <c r="C71" s="490"/>
      <c r="D71" s="487" t="s">
        <v>591</v>
      </c>
      <c r="F71" s="511"/>
      <c r="G71" s="511"/>
      <c r="H71" s="511"/>
      <c r="I71" s="511"/>
    </row>
    <row r="72" spans="1:9">
      <c r="A72" s="494" t="s">
        <v>444</v>
      </c>
      <c r="B72" s="495" t="s">
        <v>445</v>
      </c>
      <c r="F72" s="511"/>
      <c r="G72" s="511"/>
      <c r="H72" s="511"/>
      <c r="I72" s="511"/>
    </row>
    <row r="73" spans="1:9">
      <c r="A73" s="494" t="s">
        <v>11</v>
      </c>
      <c r="B73" s="496" t="s">
        <v>300</v>
      </c>
      <c r="F73" s="511"/>
      <c r="G73" s="511"/>
      <c r="H73" s="511"/>
      <c r="I73" s="511"/>
    </row>
    <row r="74" spans="1:9">
      <c r="A74" s="494" t="s">
        <v>12</v>
      </c>
      <c r="B74" s="496" t="s">
        <v>300</v>
      </c>
      <c r="F74" s="511"/>
      <c r="G74" s="511"/>
      <c r="H74" s="511"/>
      <c r="I74" s="511"/>
    </row>
    <row r="75" spans="1:9">
      <c r="A75" s="497" t="s">
        <v>443</v>
      </c>
      <c r="B75" s="505" t="s">
        <v>300</v>
      </c>
      <c r="F75" s="514"/>
      <c r="G75" s="514"/>
      <c r="H75" s="514"/>
      <c r="I75" s="514"/>
    </row>
    <row r="76" spans="1:9">
      <c r="A76" s="497" t="s">
        <v>414</v>
      </c>
      <c r="B76" s="505" t="s">
        <v>300</v>
      </c>
      <c r="F76" s="512"/>
      <c r="G76" s="512"/>
      <c r="H76" s="512"/>
      <c r="I76" s="512"/>
    </row>
    <row r="77" spans="1:9">
      <c r="A77" s="494" t="s">
        <v>415</v>
      </c>
      <c r="B77" s="496" t="s">
        <v>300</v>
      </c>
      <c r="F77" s="512"/>
      <c r="G77" s="512"/>
      <c r="H77" s="512"/>
      <c r="I77" s="512"/>
    </row>
    <row r="79" spans="1:9">
      <c r="F79" s="509" t="s">
        <v>454</v>
      </c>
      <c r="G79" s="509" t="s">
        <v>455</v>
      </c>
      <c r="H79" s="509" t="s">
        <v>456</v>
      </c>
      <c r="I79" s="509" t="s">
        <v>457</v>
      </c>
    </row>
    <row r="80" spans="1:9">
      <c r="A80" s="364" t="s">
        <v>590</v>
      </c>
      <c r="F80" s="513"/>
      <c r="G80" s="513"/>
      <c r="H80" s="513"/>
      <c r="I80" s="513"/>
    </row>
    <row r="81" spans="1:9">
      <c r="A81" s="494" t="s">
        <v>4</v>
      </c>
      <c r="B81" s="495" t="s">
        <v>472</v>
      </c>
      <c r="C81" s="490"/>
      <c r="D81" s="487" t="s">
        <v>591</v>
      </c>
      <c r="F81" s="511"/>
      <c r="G81" s="511"/>
      <c r="H81" s="511"/>
      <c r="I81" s="511"/>
    </row>
    <row r="82" spans="1:9">
      <c r="A82" s="494" t="s">
        <v>444</v>
      </c>
      <c r="B82" s="495" t="s">
        <v>445</v>
      </c>
      <c r="F82" s="511"/>
      <c r="G82" s="511"/>
      <c r="H82" s="511"/>
      <c r="I82" s="511"/>
    </row>
    <row r="83" spans="1:9">
      <c r="A83" s="494" t="s">
        <v>11</v>
      </c>
      <c r="B83" s="496" t="s">
        <v>300</v>
      </c>
      <c r="F83" s="511"/>
      <c r="G83" s="511"/>
      <c r="H83" s="511"/>
      <c r="I83" s="511"/>
    </row>
    <row r="84" spans="1:9">
      <c r="A84" s="494" t="s">
        <v>12</v>
      </c>
      <c r="B84" s="496" t="s">
        <v>300</v>
      </c>
      <c r="F84" s="511"/>
      <c r="G84" s="511"/>
      <c r="H84" s="511"/>
      <c r="I84" s="511"/>
    </row>
    <row r="85" spans="1:9">
      <c r="A85" s="497" t="s">
        <v>443</v>
      </c>
      <c r="B85" s="505" t="s">
        <v>300</v>
      </c>
      <c r="F85" s="514"/>
      <c r="G85" s="514"/>
      <c r="H85" s="514"/>
      <c r="I85" s="514"/>
    </row>
    <row r="86" spans="1:9">
      <c r="A86" s="497" t="s">
        <v>414</v>
      </c>
      <c r="B86" s="505" t="s">
        <v>300</v>
      </c>
      <c r="F86" s="512"/>
      <c r="G86" s="512"/>
      <c r="H86" s="512"/>
      <c r="I86" s="512"/>
    </row>
    <row r="87" spans="1:9">
      <c r="A87" s="494" t="s">
        <v>415</v>
      </c>
      <c r="B87" s="496" t="s">
        <v>300</v>
      </c>
      <c r="F87" s="512"/>
      <c r="G87" s="512"/>
      <c r="H87" s="512"/>
      <c r="I87" s="512"/>
    </row>
    <row r="89" spans="1:9">
      <c r="F89" s="509" t="s">
        <v>458</v>
      </c>
      <c r="G89" s="509" t="s">
        <v>459</v>
      </c>
      <c r="H89" s="509" t="s">
        <v>460</v>
      </c>
      <c r="I89" s="509" t="s">
        <v>461</v>
      </c>
    </row>
    <row r="90" spans="1:9">
      <c r="A90" s="364" t="s">
        <v>590</v>
      </c>
      <c r="F90" s="513"/>
      <c r="G90" s="513"/>
      <c r="H90" s="513"/>
      <c r="I90" s="513"/>
    </row>
    <row r="91" spans="1:9">
      <c r="A91" s="494" t="s">
        <v>4</v>
      </c>
      <c r="B91" s="495" t="s">
        <v>472</v>
      </c>
      <c r="C91" s="490"/>
      <c r="D91" s="487" t="s">
        <v>591</v>
      </c>
      <c r="F91" s="511"/>
      <c r="G91" s="511"/>
      <c r="H91" s="511"/>
      <c r="I91" s="511"/>
    </row>
    <row r="92" spans="1:9">
      <c r="A92" s="494" t="s">
        <v>444</v>
      </c>
      <c r="B92" s="495" t="s">
        <v>445</v>
      </c>
      <c r="F92" s="511"/>
      <c r="G92" s="511"/>
      <c r="H92" s="511"/>
      <c r="I92" s="511"/>
    </row>
    <row r="93" spans="1:9">
      <c r="A93" s="494" t="s">
        <v>11</v>
      </c>
      <c r="B93" s="496" t="s">
        <v>300</v>
      </c>
      <c r="F93" s="511"/>
      <c r="G93" s="511"/>
      <c r="H93" s="511"/>
      <c r="I93" s="511"/>
    </row>
    <row r="94" spans="1:9">
      <c r="A94" s="494" t="s">
        <v>12</v>
      </c>
      <c r="B94" s="496" t="s">
        <v>300</v>
      </c>
      <c r="F94" s="511"/>
      <c r="G94" s="511"/>
      <c r="H94" s="511"/>
      <c r="I94" s="511"/>
    </row>
    <row r="95" spans="1:9">
      <c r="A95" s="497" t="s">
        <v>443</v>
      </c>
      <c r="B95" s="505" t="s">
        <v>300</v>
      </c>
      <c r="F95" s="514"/>
      <c r="G95" s="514"/>
      <c r="H95" s="514"/>
      <c r="I95" s="514"/>
    </row>
    <row r="96" spans="1:9">
      <c r="A96" s="497" t="s">
        <v>414</v>
      </c>
      <c r="B96" s="505" t="s">
        <v>300</v>
      </c>
      <c r="F96" s="512"/>
      <c r="G96" s="512"/>
      <c r="H96" s="512"/>
      <c r="I96" s="512"/>
    </row>
    <row r="97" spans="1:9">
      <c r="A97" s="494" t="s">
        <v>415</v>
      </c>
      <c r="B97" s="496" t="s">
        <v>300</v>
      </c>
      <c r="F97" s="512"/>
      <c r="G97" s="512"/>
      <c r="H97" s="512"/>
      <c r="I97" s="512"/>
    </row>
  </sheetData>
  <sheetProtection algorithmName="SHA-512" hashValue="ha00T+L7besvZf4rX+ybuCtcgOnUQkf20/JL94/3GKeZPBeg67Fb4bSS3sFSkeAkumM95bY4w5P+1dWTAfc8Wg==" saltValue="xFxequ+eVxrrVqyLuH5HFQ==" spinCount="100000" sheet="1" objects="1" scenarios="1"/>
  <mergeCells count="2">
    <mergeCell ref="A1:I1"/>
    <mergeCell ref="A8:I8"/>
  </mergeCells>
  <pageMargins left="0.78740157480314965" right="0.39370078740157483" top="0.78740157480314965" bottom="0.78740157480314965" header="0.31496062992125984" footer="0.31496062992125984"/>
  <pageSetup paperSize="9" scale="96" fitToHeight="2" orientation="portrait" r:id="rId1"/>
  <headerFooter>
    <oddFooter>&amp;R&amp;"Arial,Normale"&amp;8Lariana Depur - Calcolo tariffe - Inserimento Dati Utente Industriale  - pag. &amp;P di &amp;N</oddFooter>
  </headerFooter>
  <rowBreaks count="1" manualBreakCount="1">
    <brk id="58" max="8"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Elenchi!$A$2:$A$15</xm:f>
          </x14:formula1>
          <xm:sqref>D22</xm:sqref>
        </x14:dataValidation>
        <x14:dataValidation type="list" allowBlank="1" showInputMessage="1" showErrorMessage="1" xr:uid="{00000000-0002-0000-0000-000001000000}">
          <x14:formula1>
            <xm:f>Elenchi!$B$2:$B$14</xm:f>
          </x14:formula1>
          <xm:sqref>D26 D24</xm:sqref>
        </x14:dataValidation>
        <x14:dataValidation type="list" allowBlank="1" showInputMessage="1" showErrorMessage="1" xr:uid="{00000000-0002-0000-0000-000002000000}">
          <x14:formula1>
            <xm:f>Elenchi!$C$2:$C$4</xm:f>
          </x14:formula1>
          <xm:sqref>D28</xm:sqref>
        </x14:dataValidation>
        <x14:dataValidation type="list" allowBlank="1" showInputMessage="1" showErrorMessage="1" xr:uid="{00000000-0002-0000-0000-000003000000}">
          <x14:formula1>
            <xm:f>IF($D$28=Elenchi!$C$2,Elenchi!$D$2,IF($D$28=Elenchi!$C$3,Elenchi!$D$2:$D$11,Elenchi!$D$9:$D$13))</xm:f>
          </x14:formula1>
          <xm:sqref>D30</xm:sqref>
        </x14:dataValidation>
        <x14:dataValidation type="list" allowBlank="1" showInputMessage="1" showErrorMessage="1" xr:uid="{00000000-0002-0000-0000-000004000000}">
          <x14:formula1>
            <xm:f>Elenchi!$E$2:$E$7</xm:f>
          </x14:formula1>
          <xm:sqref>D32</xm:sqref>
        </x14:dataValidation>
        <x14:dataValidation type="list" allowBlank="1" showInputMessage="1" showErrorMessage="1" xr:uid="{00000000-0002-0000-0000-000005000000}">
          <x14:formula1>
            <xm:f>Elenchi!$F$2:$F$7</xm:f>
          </x14:formula1>
          <xm:sqref>D34</xm:sqref>
        </x14:dataValidation>
        <x14:dataValidation type="list" allowBlank="1" showInputMessage="1" showErrorMessage="1" xr:uid="{00000000-0002-0000-0000-000006000000}">
          <x14:formula1>
            <xm:f>Elenchi!$F$2:$F$4</xm:f>
          </x14:formula1>
          <xm:sqref>D36 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3"/>
  <dimension ref="B1:O72"/>
  <sheetViews>
    <sheetView showGridLines="0" showRowColHeaders="0" showZeros="0" showOutlineSymbols="0" workbookViewId="0">
      <selection activeCell="E49" sqref="E49:O49"/>
    </sheetView>
  </sheetViews>
  <sheetFormatPr defaultColWidth="9.140625" defaultRowHeight="14.25"/>
  <cols>
    <col min="1" max="5" width="3.7109375" style="67" customWidth="1"/>
    <col min="6" max="16384" width="9.140625" style="67"/>
  </cols>
  <sheetData>
    <row r="1" spans="2:15" ht="39" customHeight="1">
      <c r="B1" s="92"/>
      <c r="C1" s="631" t="s">
        <v>178</v>
      </c>
      <c r="D1" s="631"/>
      <c r="E1" s="631"/>
      <c r="F1" s="631"/>
      <c r="G1" s="631"/>
      <c r="H1" s="631"/>
      <c r="I1" s="631"/>
      <c r="J1" s="631"/>
      <c r="K1" s="631"/>
      <c r="L1" s="631"/>
      <c r="M1" s="631"/>
      <c r="N1" s="631"/>
      <c r="O1" s="631"/>
    </row>
    <row r="2" spans="2:15">
      <c r="B2" s="633"/>
      <c r="C2" s="633"/>
      <c r="D2" s="633"/>
      <c r="E2" s="633"/>
      <c r="F2" s="633"/>
      <c r="G2" s="633"/>
      <c r="H2" s="633"/>
      <c r="I2" s="633"/>
      <c r="J2" s="633"/>
      <c r="K2" s="633"/>
      <c r="L2" s="633"/>
      <c r="M2" s="633"/>
      <c r="N2" s="633"/>
      <c r="O2" s="633"/>
    </row>
    <row r="3" spans="2:15">
      <c r="B3" s="634" t="s">
        <v>119</v>
      </c>
      <c r="C3" s="634"/>
      <c r="D3" s="634"/>
      <c r="E3" s="634"/>
      <c r="F3" s="634"/>
      <c r="G3" s="634"/>
      <c r="H3" s="634"/>
      <c r="I3" s="634"/>
      <c r="J3" s="634"/>
      <c r="K3" s="634"/>
      <c r="L3" s="634"/>
      <c r="M3" s="634"/>
      <c r="N3" s="634"/>
      <c r="O3" s="634"/>
    </row>
    <row r="4" spans="2:15">
      <c r="C4" s="633" t="s">
        <v>118</v>
      </c>
      <c r="D4" s="633"/>
      <c r="E4" s="633"/>
      <c r="F4" s="633"/>
      <c r="G4" s="633"/>
      <c r="H4" s="633"/>
      <c r="I4" s="633"/>
      <c r="J4" s="633"/>
      <c r="K4" s="633"/>
      <c r="L4" s="633"/>
      <c r="M4" s="633"/>
      <c r="N4" s="633"/>
      <c r="O4" s="633"/>
    </row>
    <row r="5" spans="2:15">
      <c r="C5" s="69" t="s">
        <v>122</v>
      </c>
      <c r="D5" s="633" t="s">
        <v>124</v>
      </c>
      <c r="E5" s="633"/>
      <c r="F5" s="633"/>
      <c r="G5" s="633"/>
      <c r="H5" s="633"/>
      <c r="I5" s="633"/>
      <c r="J5" s="633"/>
      <c r="K5" s="633"/>
      <c r="L5" s="633"/>
      <c r="M5" s="633"/>
      <c r="N5" s="633"/>
      <c r="O5" s="633"/>
    </row>
    <row r="6" spans="2:15" ht="15.75">
      <c r="C6" s="69" t="s">
        <v>123</v>
      </c>
      <c r="D6" s="633" t="s">
        <v>232</v>
      </c>
      <c r="E6" s="633"/>
      <c r="F6" s="633"/>
      <c r="G6" s="633"/>
      <c r="H6" s="633"/>
      <c r="I6" s="633"/>
      <c r="J6" s="633"/>
      <c r="K6" s="633"/>
      <c r="L6" s="633"/>
      <c r="M6" s="633"/>
      <c r="N6" s="633"/>
      <c r="O6" s="633"/>
    </row>
    <row r="7" spans="2:15">
      <c r="C7" s="633" t="s">
        <v>233</v>
      </c>
      <c r="D7" s="633"/>
      <c r="E7" s="633"/>
      <c r="F7" s="633"/>
      <c r="G7" s="633"/>
      <c r="H7" s="633"/>
      <c r="I7" s="633"/>
      <c r="J7" s="633"/>
      <c r="K7" s="633"/>
      <c r="L7" s="633"/>
      <c r="M7" s="633"/>
      <c r="N7" s="633"/>
      <c r="O7" s="633"/>
    </row>
    <row r="8" spans="2:15">
      <c r="C8" s="633" t="s">
        <v>237</v>
      </c>
      <c r="D8" s="633"/>
      <c r="E8" s="633"/>
      <c r="F8" s="633"/>
      <c r="G8" s="633"/>
      <c r="H8" s="633"/>
      <c r="I8" s="633"/>
      <c r="J8" s="633"/>
      <c r="K8" s="633"/>
      <c r="L8" s="633"/>
      <c r="M8" s="633"/>
      <c r="N8" s="633"/>
      <c r="O8" s="633"/>
    </row>
    <row r="9" spans="2:15">
      <c r="C9" s="633" t="s">
        <v>238</v>
      </c>
      <c r="D9" s="633"/>
      <c r="E9" s="633"/>
      <c r="F9" s="633"/>
      <c r="G9" s="633"/>
      <c r="H9" s="633"/>
      <c r="I9" s="633"/>
      <c r="J9" s="633"/>
      <c r="K9" s="633"/>
      <c r="L9" s="633"/>
      <c r="M9" s="633"/>
      <c r="N9" s="633"/>
      <c r="O9" s="633"/>
    </row>
    <row r="10" spans="2:15">
      <c r="C10" s="633" t="s">
        <v>151</v>
      </c>
      <c r="D10" s="633"/>
      <c r="E10" s="633"/>
      <c r="F10" s="633"/>
      <c r="G10" s="633"/>
      <c r="H10" s="633"/>
      <c r="I10" s="633"/>
      <c r="J10" s="633"/>
      <c r="K10" s="633"/>
      <c r="L10" s="633"/>
      <c r="M10" s="633"/>
      <c r="N10" s="633"/>
      <c r="O10" s="633"/>
    </row>
    <row r="12" spans="2:15">
      <c r="C12" s="634" t="s">
        <v>120</v>
      </c>
      <c r="D12" s="634"/>
      <c r="E12" s="634"/>
      <c r="F12" s="634"/>
      <c r="G12" s="634"/>
      <c r="H12" s="634"/>
      <c r="I12" s="634"/>
      <c r="J12" s="634"/>
      <c r="K12" s="634"/>
      <c r="L12" s="634"/>
      <c r="M12" s="634"/>
      <c r="N12" s="634"/>
      <c r="O12" s="634"/>
    </row>
    <row r="13" spans="2:15">
      <c r="D13" s="633" t="s">
        <v>234</v>
      </c>
      <c r="E13" s="633"/>
      <c r="F13" s="633"/>
      <c r="G13" s="633"/>
      <c r="H13" s="633"/>
      <c r="I13" s="633"/>
      <c r="J13" s="633"/>
      <c r="K13" s="633"/>
      <c r="L13" s="633"/>
      <c r="M13" s="633"/>
      <c r="N13" s="633"/>
      <c r="O13" s="633"/>
    </row>
    <row r="14" spans="2:15">
      <c r="D14" s="633" t="s">
        <v>147</v>
      </c>
      <c r="E14" s="633"/>
      <c r="F14" s="633"/>
      <c r="G14" s="633"/>
      <c r="H14" s="633"/>
      <c r="I14" s="633"/>
      <c r="J14" s="633"/>
      <c r="K14" s="633"/>
      <c r="L14" s="633"/>
      <c r="M14" s="633"/>
      <c r="N14" s="633"/>
      <c r="O14" s="633"/>
    </row>
    <row r="15" spans="2:15">
      <c r="D15" s="633"/>
      <c r="E15" s="633"/>
      <c r="F15" s="633"/>
      <c r="G15" s="633"/>
      <c r="H15" s="633"/>
      <c r="I15" s="633"/>
      <c r="J15" s="633"/>
      <c r="K15" s="633"/>
      <c r="L15" s="633"/>
      <c r="M15" s="633"/>
      <c r="N15" s="633"/>
      <c r="O15" s="633"/>
    </row>
    <row r="16" spans="2:15">
      <c r="C16" s="634" t="s">
        <v>121</v>
      </c>
      <c r="D16" s="634"/>
      <c r="E16" s="634"/>
      <c r="F16" s="634"/>
      <c r="G16" s="634"/>
      <c r="H16" s="634"/>
      <c r="I16" s="634"/>
      <c r="J16" s="634"/>
      <c r="K16" s="634"/>
      <c r="L16" s="634"/>
      <c r="M16" s="634"/>
      <c r="N16" s="634"/>
      <c r="O16" s="634"/>
    </row>
    <row r="17" spans="3:15">
      <c r="C17" s="69" t="s">
        <v>122</v>
      </c>
      <c r="D17" s="633" t="s">
        <v>236</v>
      </c>
      <c r="E17" s="633"/>
      <c r="F17" s="633"/>
      <c r="G17" s="633"/>
      <c r="H17" s="633"/>
      <c r="I17" s="633"/>
      <c r="J17" s="633"/>
      <c r="K17" s="633"/>
      <c r="L17" s="633"/>
      <c r="M17" s="633"/>
      <c r="N17" s="633"/>
      <c r="O17" s="633"/>
    </row>
    <row r="18" spans="3:15">
      <c r="C18" s="68"/>
      <c r="D18" s="633" t="s">
        <v>235</v>
      </c>
      <c r="E18" s="633"/>
      <c r="F18" s="633"/>
      <c r="G18" s="633"/>
      <c r="H18" s="633"/>
      <c r="I18" s="633"/>
      <c r="J18" s="633"/>
      <c r="K18" s="633"/>
      <c r="L18" s="633"/>
      <c r="M18" s="633"/>
      <c r="N18" s="633"/>
      <c r="O18" s="633"/>
    </row>
    <row r="19" spans="3:15">
      <c r="C19" s="69" t="s">
        <v>123</v>
      </c>
      <c r="D19" s="633" t="s">
        <v>140</v>
      </c>
      <c r="E19" s="633"/>
      <c r="F19" s="633"/>
      <c r="G19" s="633"/>
      <c r="H19" s="633"/>
      <c r="I19" s="633"/>
      <c r="J19" s="633"/>
      <c r="K19" s="633"/>
      <c r="L19" s="633"/>
      <c r="M19" s="633"/>
      <c r="N19" s="633"/>
      <c r="O19" s="633"/>
    </row>
    <row r="20" spans="3:15">
      <c r="C20" s="69"/>
      <c r="D20" s="633"/>
      <c r="E20" s="633"/>
      <c r="F20" s="633"/>
      <c r="G20" s="633"/>
      <c r="H20" s="633"/>
      <c r="I20" s="633"/>
      <c r="J20" s="633"/>
      <c r="K20" s="633"/>
      <c r="L20" s="633"/>
      <c r="M20" s="633"/>
      <c r="N20" s="633"/>
      <c r="O20" s="633"/>
    </row>
    <row r="21" spans="3:15">
      <c r="C21" s="634" t="s">
        <v>126</v>
      </c>
      <c r="D21" s="634"/>
      <c r="E21" s="634"/>
      <c r="F21" s="634"/>
      <c r="G21" s="634"/>
      <c r="H21" s="634"/>
      <c r="I21" s="634"/>
      <c r="J21" s="634"/>
      <c r="K21" s="634"/>
      <c r="L21" s="634"/>
      <c r="M21" s="634"/>
      <c r="N21" s="634"/>
      <c r="O21" s="634"/>
    </row>
    <row r="22" spans="3:15">
      <c r="C22" s="69" t="s">
        <v>122</v>
      </c>
      <c r="D22" s="633" t="s">
        <v>152</v>
      </c>
      <c r="E22" s="633"/>
      <c r="F22" s="633"/>
      <c r="G22" s="633"/>
      <c r="H22" s="633"/>
      <c r="I22" s="633"/>
      <c r="J22" s="633"/>
      <c r="K22" s="633"/>
      <c r="L22" s="633"/>
      <c r="M22" s="633"/>
      <c r="N22" s="633"/>
      <c r="O22" s="633"/>
    </row>
    <row r="23" spans="3:15">
      <c r="C23" s="69" t="s">
        <v>123</v>
      </c>
      <c r="D23" s="633" t="s">
        <v>127</v>
      </c>
      <c r="E23" s="633"/>
      <c r="F23" s="633"/>
      <c r="G23" s="633"/>
      <c r="H23" s="633"/>
      <c r="I23" s="633"/>
      <c r="J23" s="633"/>
      <c r="K23" s="633"/>
      <c r="L23" s="633"/>
      <c r="M23" s="633"/>
      <c r="N23" s="633"/>
      <c r="O23" s="633"/>
    </row>
    <row r="24" spans="3:15">
      <c r="C24" s="68"/>
      <c r="D24" s="633" t="s">
        <v>153</v>
      </c>
      <c r="E24" s="633"/>
      <c r="F24" s="633"/>
      <c r="G24" s="633"/>
      <c r="H24" s="633"/>
      <c r="I24" s="633"/>
      <c r="J24" s="633"/>
      <c r="K24" s="633"/>
      <c r="L24" s="633"/>
      <c r="M24" s="633"/>
      <c r="N24" s="633"/>
      <c r="O24" s="633"/>
    </row>
    <row r="25" spans="3:15">
      <c r="C25" s="69" t="s">
        <v>125</v>
      </c>
      <c r="D25" s="633" t="s">
        <v>128</v>
      </c>
      <c r="E25" s="633"/>
      <c r="F25" s="633"/>
      <c r="G25" s="633"/>
      <c r="H25" s="633"/>
      <c r="I25" s="633"/>
      <c r="J25" s="633"/>
      <c r="K25" s="633"/>
      <c r="L25" s="633"/>
      <c r="M25" s="633"/>
      <c r="N25" s="633"/>
      <c r="O25" s="633"/>
    </row>
    <row r="26" spans="3:15">
      <c r="C26" s="69" t="s">
        <v>129</v>
      </c>
      <c r="D26" s="633" t="s">
        <v>130</v>
      </c>
      <c r="E26" s="633"/>
      <c r="F26" s="633"/>
      <c r="G26" s="633"/>
      <c r="H26" s="633"/>
      <c r="I26" s="633"/>
      <c r="J26" s="633"/>
      <c r="K26" s="633"/>
      <c r="L26" s="633"/>
      <c r="M26" s="633"/>
      <c r="N26" s="633"/>
      <c r="O26" s="633"/>
    </row>
    <row r="27" spans="3:15">
      <c r="C27" s="69" t="s">
        <v>131</v>
      </c>
      <c r="D27" s="633" t="s">
        <v>132</v>
      </c>
      <c r="E27" s="633"/>
      <c r="F27" s="633"/>
      <c r="G27" s="633"/>
      <c r="H27" s="633"/>
      <c r="I27" s="633"/>
      <c r="J27" s="633"/>
      <c r="K27" s="633"/>
      <c r="L27" s="633"/>
      <c r="M27" s="633"/>
      <c r="N27" s="633"/>
      <c r="O27" s="633"/>
    </row>
    <row r="28" spans="3:15">
      <c r="D28" s="633" t="s">
        <v>141</v>
      </c>
      <c r="E28" s="633"/>
      <c r="F28" s="633"/>
      <c r="G28" s="633"/>
      <c r="H28" s="633"/>
      <c r="I28" s="633"/>
      <c r="J28" s="633"/>
      <c r="K28" s="633"/>
      <c r="L28" s="633"/>
      <c r="M28" s="633"/>
      <c r="N28" s="633"/>
      <c r="O28" s="633"/>
    </row>
    <row r="29" spans="3:15">
      <c r="D29" s="634" t="s">
        <v>142</v>
      </c>
      <c r="E29" s="634"/>
      <c r="F29" s="634"/>
      <c r="G29" s="634"/>
      <c r="H29" s="634"/>
      <c r="I29" s="634"/>
      <c r="J29" s="634"/>
      <c r="K29" s="634"/>
      <c r="L29" s="634"/>
      <c r="M29" s="634"/>
      <c r="N29" s="634"/>
      <c r="O29" s="634"/>
    </row>
    <row r="30" spans="3:15">
      <c r="C30" s="69" t="s">
        <v>133</v>
      </c>
      <c r="D30" s="633" t="s">
        <v>203</v>
      </c>
      <c r="E30" s="633"/>
      <c r="F30" s="633"/>
      <c r="G30" s="633"/>
      <c r="H30" s="633"/>
      <c r="I30" s="633"/>
      <c r="J30" s="633"/>
      <c r="K30" s="633"/>
      <c r="L30" s="633"/>
      <c r="M30" s="633"/>
      <c r="N30" s="633"/>
      <c r="O30" s="633"/>
    </row>
    <row r="31" spans="3:15">
      <c r="D31" s="70" t="s">
        <v>143</v>
      </c>
      <c r="E31" s="634" t="s">
        <v>149</v>
      </c>
      <c r="F31" s="634"/>
      <c r="G31" s="634"/>
      <c r="H31" s="634"/>
      <c r="I31" s="634"/>
      <c r="J31" s="634"/>
      <c r="K31" s="634"/>
      <c r="L31" s="634"/>
      <c r="M31" s="634"/>
      <c r="N31" s="634"/>
      <c r="O31" s="634"/>
    </row>
    <row r="32" spans="3:15">
      <c r="D32" s="70" t="s">
        <v>143</v>
      </c>
      <c r="E32" s="635" t="s">
        <v>239</v>
      </c>
      <c r="F32" s="634"/>
      <c r="G32" s="634"/>
      <c r="H32" s="634"/>
      <c r="I32" s="634"/>
      <c r="J32" s="634"/>
      <c r="K32" s="634"/>
      <c r="L32" s="634"/>
      <c r="M32" s="634"/>
      <c r="N32" s="634"/>
      <c r="O32" s="634"/>
    </row>
    <row r="33" spans="2:15">
      <c r="E33" s="633" t="s">
        <v>194</v>
      </c>
      <c r="F33" s="633"/>
      <c r="G33" s="633"/>
      <c r="H33" s="633"/>
      <c r="I33" s="633"/>
      <c r="J33" s="633"/>
      <c r="K33" s="633"/>
      <c r="L33" s="633"/>
      <c r="M33" s="633"/>
      <c r="N33" s="633"/>
      <c r="O33" s="633"/>
    </row>
    <row r="34" spans="2:15">
      <c r="D34" s="633" t="s">
        <v>150</v>
      </c>
      <c r="E34" s="633"/>
      <c r="F34" s="633"/>
      <c r="G34" s="633"/>
      <c r="H34" s="633"/>
      <c r="I34" s="633"/>
      <c r="J34" s="633"/>
      <c r="K34" s="633"/>
      <c r="L34" s="633"/>
      <c r="M34" s="633"/>
      <c r="N34" s="633"/>
      <c r="O34" s="633"/>
    </row>
    <row r="35" spans="2:15">
      <c r="C35" s="69" t="s">
        <v>139</v>
      </c>
      <c r="D35" s="633" t="s">
        <v>144</v>
      </c>
      <c r="E35" s="633"/>
      <c r="F35" s="633"/>
      <c r="G35" s="633"/>
      <c r="H35" s="633"/>
      <c r="I35" s="633"/>
      <c r="J35" s="633"/>
      <c r="K35" s="633"/>
      <c r="L35" s="633"/>
      <c r="M35" s="633"/>
      <c r="N35" s="633"/>
      <c r="O35" s="633"/>
    </row>
    <row r="36" spans="2:15">
      <c r="D36" s="70" t="s">
        <v>143</v>
      </c>
      <c r="E36" s="634" t="s">
        <v>145</v>
      </c>
      <c r="F36" s="634"/>
      <c r="G36" s="634"/>
      <c r="H36" s="634"/>
      <c r="I36" s="634"/>
      <c r="J36" s="634"/>
      <c r="K36" s="634"/>
      <c r="L36" s="634"/>
      <c r="M36" s="634"/>
      <c r="N36" s="634"/>
      <c r="O36" s="634"/>
    </row>
    <row r="37" spans="2:15">
      <c r="D37" s="70" t="s">
        <v>143</v>
      </c>
      <c r="E37" s="634" t="s">
        <v>240</v>
      </c>
      <c r="F37" s="634"/>
      <c r="G37" s="634"/>
      <c r="H37" s="634"/>
      <c r="I37" s="634"/>
      <c r="J37" s="634"/>
      <c r="K37" s="634"/>
      <c r="L37" s="634"/>
      <c r="M37" s="634"/>
      <c r="N37" s="634"/>
      <c r="O37" s="634"/>
    </row>
    <row r="38" spans="2:15">
      <c r="D38" s="70"/>
      <c r="E38" s="67" t="s">
        <v>241</v>
      </c>
      <c r="F38" s="68"/>
      <c r="G38" s="68"/>
      <c r="H38" s="68"/>
      <c r="I38" s="68"/>
      <c r="J38" s="68"/>
      <c r="K38" s="68"/>
      <c r="L38" s="68"/>
      <c r="M38" s="68"/>
      <c r="N38" s="68"/>
      <c r="O38" s="68"/>
    </row>
    <row r="39" spans="2:15">
      <c r="D39" s="70"/>
      <c r="E39" s="67" t="s">
        <v>242</v>
      </c>
      <c r="F39" s="68"/>
      <c r="G39" s="68"/>
      <c r="H39" s="68"/>
      <c r="I39" s="68"/>
      <c r="J39" s="68"/>
      <c r="K39" s="68"/>
      <c r="L39" s="68"/>
      <c r="M39" s="68"/>
      <c r="N39" s="68"/>
      <c r="O39" s="68"/>
    </row>
    <row r="40" spans="2:15">
      <c r="E40" s="633" t="s">
        <v>146</v>
      </c>
      <c r="F40" s="633"/>
      <c r="G40" s="633"/>
      <c r="H40" s="633"/>
      <c r="I40" s="633"/>
      <c r="J40" s="633"/>
      <c r="K40" s="633"/>
      <c r="L40" s="633"/>
      <c r="M40" s="633"/>
      <c r="N40" s="633"/>
      <c r="O40" s="633"/>
    </row>
    <row r="41" spans="2:15">
      <c r="D41" s="633" t="s">
        <v>195</v>
      </c>
      <c r="E41" s="633"/>
      <c r="F41" s="633"/>
      <c r="G41" s="633"/>
      <c r="H41" s="633"/>
      <c r="I41" s="633"/>
      <c r="J41" s="633"/>
      <c r="K41" s="633"/>
      <c r="L41" s="633"/>
      <c r="M41" s="633"/>
      <c r="N41" s="633"/>
      <c r="O41" s="633"/>
    </row>
    <row r="43" spans="2:15">
      <c r="B43" s="629" t="s">
        <v>148</v>
      </c>
      <c r="C43" s="629"/>
      <c r="D43" s="629"/>
      <c r="E43" s="629"/>
      <c r="F43" s="629"/>
      <c r="G43" s="629"/>
      <c r="H43" s="629"/>
      <c r="I43" s="629"/>
      <c r="J43" s="629"/>
      <c r="K43" s="629"/>
      <c r="L43" s="629"/>
      <c r="M43" s="629"/>
      <c r="N43" s="629"/>
      <c r="O43" s="629"/>
    </row>
    <row r="44" spans="2:15">
      <c r="B44" s="72"/>
      <c r="C44" s="630" t="s">
        <v>154</v>
      </c>
      <c r="D44" s="630"/>
      <c r="E44" s="630"/>
      <c r="F44" s="630"/>
      <c r="G44" s="630"/>
      <c r="H44" s="630"/>
      <c r="I44" s="630"/>
      <c r="J44" s="630"/>
      <c r="K44" s="630"/>
      <c r="L44" s="630"/>
      <c r="M44" s="630"/>
      <c r="N44" s="630"/>
      <c r="O44" s="630"/>
    </row>
    <row r="45" spans="2:15">
      <c r="B45" s="72"/>
      <c r="C45" s="630" t="s">
        <v>161</v>
      </c>
      <c r="D45" s="630"/>
      <c r="E45" s="630"/>
      <c r="F45" s="630"/>
      <c r="G45" s="630"/>
      <c r="H45" s="630"/>
      <c r="I45" s="630"/>
      <c r="J45" s="630"/>
      <c r="K45" s="630"/>
      <c r="L45" s="630"/>
      <c r="M45" s="630"/>
      <c r="N45" s="630"/>
      <c r="O45" s="630"/>
    </row>
    <row r="46" spans="2:15">
      <c r="B46" s="72"/>
      <c r="C46" s="73" t="s">
        <v>158</v>
      </c>
      <c r="D46" s="629" t="s">
        <v>196</v>
      </c>
      <c r="E46" s="629"/>
      <c r="F46" s="629"/>
      <c r="G46" s="629"/>
      <c r="H46" s="629"/>
      <c r="I46" s="629"/>
      <c r="J46" s="629"/>
      <c r="K46" s="629"/>
      <c r="L46" s="629"/>
      <c r="M46" s="629"/>
      <c r="N46" s="629"/>
      <c r="O46" s="629"/>
    </row>
    <row r="47" spans="2:15">
      <c r="B47" s="72"/>
      <c r="C47" s="72"/>
      <c r="D47" s="74" t="s">
        <v>143</v>
      </c>
      <c r="E47" s="630" t="s">
        <v>168</v>
      </c>
      <c r="F47" s="630"/>
      <c r="G47" s="630"/>
      <c r="H47" s="630"/>
      <c r="I47" s="630"/>
      <c r="J47" s="630"/>
      <c r="K47" s="630"/>
      <c r="L47" s="630"/>
      <c r="M47" s="630"/>
      <c r="N47" s="630"/>
      <c r="O47" s="630"/>
    </row>
    <row r="48" spans="2:15">
      <c r="B48" s="72"/>
      <c r="C48" s="72"/>
      <c r="D48" s="72"/>
      <c r="E48" s="630" t="s">
        <v>155</v>
      </c>
      <c r="F48" s="630"/>
      <c r="G48" s="630"/>
      <c r="H48" s="630"/>
      <c r="I48" s="630"/>
      <c r="J48" s="630"/>
      <c r="K48" s="630"/>
      <c r="L48" s="630"/>
      <c r="M48" s="630"/>
      <c r="N48" s="630"/>
      <c r="O48" s="630"/>
    </row>
    <row r="49" spans="2:15">
      <c r="B49" s="72"/>
      <c r="C49" s="72"/>
      <c r="D49" s="74"/>
      <c r="E49" s="629" t="s">
        <v>169</v>
      </c>
      <c r="F49" s="630"/>
      <c r="G49" s="630"/>
      <c r="H49" s="630"/>
      <c r="I49" s="630"/>
      <c r="J49" s="630"/>
      <c r="K49" s="630"/>
      <c r="L49" s="630"/>
      <c r="M49" s="630"/>
      <c r="N49" s="630"/>
      <c r="O49" s="630"/>
    </row>
    <row r="50" spans="2:15">
      <c r="B50" s="72"/>
      <c r="C50" s="72"/>
      <c r="D50" s="72"/>
      <c r="E50" s="72"/>
      <c r="F50" s="630" t="s">
        <v>159</v>
      </c>
      <c r="G50" s="630"/>
      <c r="H50" s="630"/>
      <c r="I50" s="630"/>
      <c r="J50" s="630"/>
      <c r="K50" s="630"/>
      <c r="L50" s="630"/>
      <c r="M50" s="630"/>
      <c r="N50" s="630"/>
      <c r="O50" s="630"/>
    </row>
    <row r="51" spans="2:15">
      <c r="B51" s="72"/>
      <c r="C51" s="72"/>
      <c r="D51" s="72"/>
      <c r="E51" s="72"/>
      <c r="F51" s="630" t="s">
        <v>156</v>
      </c>
      <c r="G51" s="630"/>
      <c r="H51" s="630"/>
      <c r="I51" s="630"/>
      <c r="J51" s="630"/>
      <c r="K51" s="630"/>
      <c r="L51" s="630"/>
      <c r="M51" s="630"/>
      <c r="N51" s="630"/>
      <c r="O51" s="630"/>
    </row>
    <row r="52" spans="2:15">
      <c r="B52" s="72"/>
      <c r="C52" s="72"/>
      <c r="D52" s="74"/>
      <c r="E52" s="629" t="s">
        <v>170</v>
      </c>
      <c r="F52" s="630"/>
      <c r="G52" s="630"/>
      <c r="H52" s="630"/>
      <c r="I52" s="630"/>
      <c r="J52" s="630"/>
      <c r="K52" s="630"/>
      <c r="L52" s="630"/>
      <c r="M52" s="630"/>
      <c r="N52" s="630"/>
      <c r="O52" s="630"/>
    </row>
    <row r="53" spans="2:15">
      <c r="B53" s="72"/>
      <c r="C53" s="72"/>
      <c r="D53" s="72"/>
      <c r="E53" s="72"/>
      <c r="F53" s="630" t="s">
        <v>157</v>
      </c>
      <c r="G53" s="630"/>
      <c r="H53" s="630"/>
      <c r="I53" s="630"/>
      <c r="J53" s="630"/>
      <c r="K53" s="630"/>
      <c r="L53" s="630"/>
      <c r="M53" s="630"/>
      <c r="N53" s="630"/>
      <c r="O53" s="630"/>
    </row>
    <row r="54" spans="2:15">
      <c r="B54" s="72"/>
      <c r="C54" s="72"/>
      <c r="D54" s="72"/>
      <c r="E54" s="72"/>
      <c r="F54" s="630" t="s">
        <v>160</v>
      </c>
      <c r="G54" s="630"/>
      <c r="H54" s="630"/>
      <c r="I54" s="630"/>
      <c r="J54" s="630"/>
      <c r="K54" s="630"/>
      <c r="L54" s="630"/>
      <c r="M54" s="630"/>
      <c r="N54" s="630"/>
      <c r="O54" s="630"/>
    </row>
    <row r="55" spans="2:15">
      <c r="B55" s="72"/>
      <c r="C55" s="72"/>
      <c r="D55" s="72"/>
      <c r="E55" s="629" t="s">
        <v>171</v>
      </c>
      <c r="F55" s="629"/>
      <c r="G55" s="629"/>
      <c r="H55" s="629"/>
      <c r="I55" s="629"/>
      <c r="J55" s="629"/>
      <c r="K55" s="629"/>
      <c r="L55" s="629"/>
      <c r="M55" s="629"/>
      <c r="N55" s="629"/>
      <c r="O55" s="629"/>
    </row>
    <row r="56" spans="2:15">
      <c r="B56" s="72"/>
      <c r="C56" s="72"/>
      <c r="D56" s="72"/>
      <c r="E56" s="630" t="s">
        <v>165</v>
      </c>
      <c r="F56" s="630"/>
      <c r="G56" s="630"/>
      <c r="H56" s="630"/>
      <c r="I56" s="630"/>
      <c r="J56" s="630"/>
      <c r="K56" s="630"/>
      <c r="L56" s="630"/>
      <c r="M56" s="630"/>
      <c r="N56" s="630"/>
      <c r="O56" s="630"/>
    </row>
    <row r="57" spans="2:15">
      <c r="B57" s="72"/>
      <c r="C57" s="72"/>
      <c r="D57" s="72"/>
      <c r="E57" s="629" t="s">
        <v>172</v>
      </c>
      <c r="F57" s="629"/>
      <c r="G57" s="629"/>
      <c r="H57" s="629"/>
      <c r="I57" s="629"/>
      <c r="J57" s="629"/>
      <c r="K57" s="629"/>
      <c r="L57" s="629"/>
      <c r="M57" s="629"/>
      <c r="N57" s="629"/>
      <c r="O57" s="629"/>
    </row>
    <row r="58" spans="2:15">
      <c r="B58" s="72"/>
      <c r="C58" s="72"/>
      <c r="D58" s="72"/>
      <c r="E58" s="630" t="s">
        <v>165</v>
      </c>
      <c r="F58" s="630"/>
      <c r="G58" s="630"/>
      <c r="H58" s="630"/>
      <c r="I58" s="630"/>
      <c r="J58" s="630"/>
      <c r="K58" s="630"/>
      <c r="L58" s="630"/>
      <c r="M58" s="630"/>
      <c r="N58" s="630"/>
      <c r="O58" s="630"/>
    </row>
    <row r="59" spans="2:15">
      <c r="B59" s="72"/>
      <c r="C59" s="72"/>
      <c r="D59" s="630" t="s">
        <v>197</v>
      </c>
      <c r="E59" s="630"/>
      <c r="F59" s="630"/>
      <c r="G59" s="630"/>
      <c r="H59" s="630"/>
      <c r="I59" s="630"/>
      <c r="J59" s="630"/>
      <c r="K59" s="630"/>
      <c r="L59" s="630"/>
      <c r="M59" s="630"/>
      <c r="N59" s="630"/>
      <c r="O59" s="630"/>
    </row>
    <row r="60" spans="2:15">
      <c r="B60" s="72"/>
      <c r="C60" s="72"/>
      <c r="D60" s="632" t="s">
        <v>166</v>
      </c>
      <c r="E60" s="630"/>
      <c r="F60" s="630"/>
      <c r="G60" s="630"/>
      <c r="H60" s="630"/>
      <c r="I60" s="630"/>
      <c r="J60" s="630"/>
      <c r="K60" s="630"/>
      <c r="L60" s="630"/>
      <c r="M60" s="630"/>
      <c r="N60" s="630"/>
      <c r="O60" s="630"/>
    </row>
    <row r="61" spans="2:15">
      <c r="B61" s="72"/>
      <c r="C61" s="73" t="s">
        <v>158</v>
      </c>
      <c r="D61" s="629" t="s">
        <v>199</v>
      </c>
      <c r="E61" s="629"/>
      <c r="F61" s="629"/>
      <c r="G61" s="629"/>
      <c r="H61" s="629"/>
      <c r="I61" s="629"/>
      <c r="J61" s="629"/>
      <c r="K61" s="629"/>
      <c r="L61" s="629"/>
      <c r="M61" s="629"/>
      <c r="N61" s="629"/>
      <c r="O61" s="629"/>
    </row>
    <row r="62" spans="2:15">
      <c r="B62" s="72"/>
      <c r="C62" s="72"/>
      <c r="D62" s="72"/>
      <c r="E62" s="629" t="s">
        <v>173</v>
      </c>
      <c r="F62" s="630"/>
      <c r="G62" s="630"/>
      <c r="H62" s="630"/>
      <c r="I62" s="630"/>
      <c r="J62" s="630"/>
      <c r="K62" s="630"/>
      <c r="L62" s="630"/>
      <c r="M62" s="630"/>
      <c r="N62" s="630"/>
      <c r="O62" s="630"/>
    </row>
    <row r="63" spans="2:15">
      <c r="B63" s="72"/>
      <c r="C63" s="72"/>
      <c r="D63" s="72"/>
      <c r="E63" s="72"/>
      <c r="F63" s="630" t="s">
        <v>162</v>
      </c>
      <c r="G63" s="630"/>
      <c r="H63" s="630"/>
      <c r="I63" s="630"/>
      <c r="J63" s="630"/>
      <c r="K63" s="630"/>
      <c r="L63" s="630"/>
      <c r="M63" s="630"/>
      <c r="N63" s="630"/>
      <c r="O63" s="630"/>
    </row>
    <row r="64" spans="2:15">
      <c r="B64" s="72"/>
      <c r="C64" s="72"/>
      <c r="D64" s="72"/>
      <c r="E64" s="72"/>
      <c r="F64" s="630" t="s">
        <v>167</v>
      </c>
      <c r="G64" s="630"/>
      <c r="H64" s="630"/>
      <c r="I64" s="630"/>
      <c r="J64" s="630"/>
      <c r="K64" s="630"/>
      <c r="L64" s="630"/>
      <c r="M64" s="630"/>
      <c r="N64" s="630"/>
      <c r="O64" s="630"/>
    </row>
    <row r="65" spans="2:15">
      <c r="B65" s="72"/>
      <c r="C65" s="72"/>
      <c r="D65" s="72"/>
      <c r="E65" s="629" t="s">
        <v>174</v>
      </c>
      <c r="F65" s="630"/>
      <c r="G65" s="630"/>
      <c r="H65" s="630"/>
      <c r="I65" s="630"/>
      <c r="J65" s="630"/>
      <c r="K65" s="630"/>
      <c r="L65" s="630"/>
      <c r="M65" s="630"/>
      <c r="N65" s="630"/>
      <c r="O65" s="630"/>
    </row>
    <row r="66" spans="2:15">
      <c r="B66" s="72"/>
      <c r="C66" s="72"/>
      <c r="D66" s="72"/>
      <c r="E66" s="72"/>
      <c r="F66" s="630" t="s">
        <v>163</v>
      </c>
      <c r="G66" s="630"/>
      <c r="H66" s="630"/>
      <c r="I66" s="630"/>
      <c r="J66" s="630"/>
      <c r="K66" s="630"/>
      <c r="L66" s="630"/>
      <c r="M66" s="630"/>
      <c r="N66" s="630"/>
      <c r="O66" s="630"/>
    </row>
    <row r="67" spans="2:15">
      <c r="B67" s="72"/>
      <c r="C67" s="72"/>
      <c r="D67" s="72"/>
      <c r="E67" s="72"/>
      <c r="F67" s="630" t="s">
        <v>198</v>
      </c>
      <c r="G67" s="630"/>
      <c r="H67" s="630"/>
      <c r="I67" s="630"/>
      <c r="J67" s="630"/>
      <c r="K67" s="630"/>
      <c r="L67" s="630"/>
      <c r="M67" s="630"/>
      <c r="N67" s="630"/>
      <c r="O67" s="630"/>
    </row>
    <row r="68" spans="2:15">
      <c r="B68" s="72"/>
      <c r="C68" s="72"/>
      <c r="D68" s="630" t="s">
        <v>164</v>
      </c>
      <c r="E68" s="630"/>
      <c r="F68" s="630"/>
      <c r="G68" s="630"/>
      <c r="H68" s="630"/>
      <c r="I68" s="630"/>
      <c r="J68" s="630"/>
      <c r="K68" s="630"/>
      <c r="L68" s="630"/>
      <c r="M68" s="630"/>
      <c r="N68" s="630"/>
      <c r="O68" s="630"/>
    </row>
    <row r="69" spans="2:15">
      <c r="B69" s="72"/>
      <c r="C69" s="72"/>
      <c r="D69" s="72"/>
      <c r="E69" s="629" t="s">
        <v>175</v>
      </c>
      <c r="F69" s="630"/>
      <c r="G69" s="630"/>
      <c r="H69" s="630"/>
      <c r="I69" s="630"/>
      <c r="J69" s="630"/>
      <c r="K69" s="630"/>
      <c r="L69" s="630"/>
      <c r="M69" s="630"/>
      <c r="N69" s="630"/>
      <c r="O69" s="630"/>
    </row>
    <row r="70" spans="2:15">
      <c r="B70" s="72"/>
      <c r="C70" s="72"/>
      <c r="D70" s="72"/>
      <c r="E70" s="629" t="s">
        <v>176</v>
      </c>
      <c r="F70" s="630"/>
      <c r="G70" s="630"/>
      <c r="H70" s="630"/>
      <c r="I70" s="630"/>
      <c r="J70" s="630"/>
      <c r="K70" s="630"/>
      <c r="L70" s="630"/>
      <c r="M70" s="630"/>
      <c r="N70" s="630"/>
      <c r="O70" s="630"/>
    </row>
    <row r="71" spans="2:15">
      <c r="B71" s="72"/>
      <c r="C71" s="72"/>
      <c r="D71" s="630" t="s">
        <v>177</v>
      </c>
      <c r="E71" s="630"/>
      <c r="F71" s="630"/>
      <c r="G71" s="630"/>
      <c r="H71" s="630"/>
      <c r="I71" s="630"/>
      <c r="J71" s="630"/>
      <c r="K71" s="630"/>
      <c r="L71" s="630"/>
      <c r="M71" s="630"/>
      <c r="N71" s="630"/>
      <c r="O71" s="630"/>
    </row>
    <row r="72" spans="2:15">
      <c r="B72" s="71"/>
      <c r="C72" s="71"/>
      <c r="D72" s="71"/>
      <c r="E72" s="71"/>
      <c r="F72" s="71"/>
      <c r="G72" s="71"/>
      <c r="H72" s="71"/>
      <c r="I72" s="71"/>
      <c r="J72" s="71"/>
      <c r="K72" s="71"/>
      <c r="L72" s="71"/>
      <c r="M72" s="71"/>
      <c r="N72" s="71"/>
      <c r="O72" s="71"/>
    </row>
  </sheetData>
  <sheetProtection password="C582" sheet="1" objects="1" scenarios="1"/>
  <mergeCells count="67">
    <mergeCell ref="E70:O70"/>
    <mergeCell ref="D71:O71"/>
    <mergeCell ref="B2:O2"/>
    <mergeCell ref="F66:O66"/>
    <mergeCell ref="F67:O67"/>
    <mergeCell ref="D68:O68"/>
    <mergeCell ref="E69:O69"/>
    <mergeCell ref="B3:O3"/>
    <mergeCell ref="C4:O4"/>
    <mergeCell ref="D5:O5"/>
    <mergeCell ref="D25:O25"/>
    <mergeCell ref="D6:O6"/>
    <mergeCell ref="C7:O7"/>
    <mergeCell ref="C8:O8"/>
    <mergeCell ref="C9:O9"/>
    <mergeCell ref="D15:O15"/>
    <mergeCell ref="C16:O16"/>
    <mergeCell ref="C10:O10"/>
    <mergeCell ref="C12:O12"/>
    <mergeCell ref="D13:O13"/>
    <mergeCell ref="D14:O14"/>
    <mergeCell ref="D23:O23"/>
    <mergeCell ref="D24:O24"/>
    <mergeCell ref="D17:O17"/>
    <mergeCell ref="D18:O18"/>
    <mergeCell ref="D19:O19"/>
    <mergeCell ref="D20:O20"/>
    <mergeCell ref="C21:O21"/>
    <mergeCell ref="D22:O22"/>
    <mergeCell ref="D26:O26"/>
    <mergeCell ref="D27:O27"/>
    <mergeCell ref="D28:O28"/>
    <mergeCell ref="E36:O36"/>
    <mergeCell ref="E37:O37"/>
    <mergeCell ref="D30:O30"/>
    <mergeCell ref="E31:O31"/>
    <mergeCell ref="E32:O32"/>
    <mergeCell ref="E33:O33"/>
    <mergeCell ref="D34:O34"/>
    <mergeCell ref="D29:O29"/>
    <mergeCell ref="F54:O54"/>
    <mergeCell ref="D35:O35"/>
    <mergeCell ref="E47:O47"/>
    <mergeCell ref="F51:O51"/>
    <mergeCell ref="E40:O40"/>
    <mergeCell ref="D41:O41"/>
    <mergeCell ref="B43:O43"/>
    <mergeCell ref="C44:O44"/>
    <mergeCell ref="E49:O49"/>
    <mergeCell ref="D46:O46"/>
    <mergeCell ref="F50:O50"/>
    <mergeCell ref="E62:O62"/>
    <mergeCell ref="C1:O1"/>
    <mergeCell ref="E55:O55"/>
    <mergeCell ref="E65:O65"/>
    <mergeCell ref="E56:O56"/>
    <mergeCell ref="E57:O57"/>
    <mergeCell ref="E58:O58"/>
    <mergeCell ref="D59:O59"/>
    <mergeCell ref="F64:O64"/>
    <mergeCell ref="F63:O63"/>
    <mergeCell ref="C45:O45"/>
    <mergeCell ref="D60:O60"/>
    <mergeCell ref="D61:O61"/>
    <mergeCell ref="E48:O48"/>
    <mergeCell ref="E52:O52"/>
    <mergeCell ref="F53:O53"/>
  </mergeCells>
  <phoneticPr fontId="0" type="noConversion"/>
  <pageMargins left="0.75" right="0.75" top="1" bottom="1" header="0.5" footer="0.5"/>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pageSetUpPr fitToPage="1"/>
  </sheetPr>
  <dimension ref="A1:H56"/>
  <sheetViews>
    <sheetView showGridLines="0" zoomScale="130" zoomScaleNormal="130" workbookViewId="0">
      <pane ySplit="2" topLeftCell="A24" activePane="bottomLeft" state="frozen"/>
      <selection pane="bottomLeft" activeCell="G42" sqref="G42"/>
    </sheetView>
  </sheetViews>
  <sheetFormatPr defaultColWidth="9.140625" defaultRowHeight="12.75"/>
  <cols>
    <col min="1" max="1" width="27.7109375" style="368" customWidth="1"/>
    <col min="2" max="2" width="14.7109375" style="368" customWidth="1"/>
    <col min="3" max="3" width="12.7109375" style="368" customWidth="1"/>
    <col min="4" max="4" width="14.28515625" style="368" customWidth="1"/>
    <col min="5" max="5" width="9.140625" style="368"/>
    <col min="6" max="6" width="14.7109375" style="368" customWidth="1"/>
    <col min="7" max="16384" width="9.140625" style="368"/>
  </cols>
  <sheetData>
    <row r="1" spans="1:8" ht="25.5" customHeight="1">
      <c r="A1" s="580" t="s">
        <v>434</v>
      </c>
      <c r="B1" s="581"/>
      <c r="C1" s="581"/>
      <c r="D1" s="581"/>
      <c r="E1" s="581"/>
      <c r="F1" s="582"/>
    </row>
    <row r="3" spans="1:8">
      <c r="A3" s="368" t="s">
        <v>256</v>
      </c>
      <c r="B3" s="371">
        <f>'DATI UTENTE'!D22</f>
        <v>0</v>
      </c>
      <c r="D3" s="368" t="s">
        <v>297</v>
      </c>
      <c r="F3" s="371">
        <f>'DATI UTENTE'!D24</f>
        <v>0</v>
      </c>
    </row>
    <row r="4" spans="1:8">
      <c r="A4" s="387" t="s">
        <v>440</v>
      </c>
      <c r="B4" s="371">
        <f>'DATI UTENTE'!D28</f>
        <v>0</v>
      </c>
      <c r="D4" s="387" t="s">
        <v>439</v>
      </c>
      <c r="F4" s="371">
        <f>'DATI UTENTE'!D26</f>
        <v>0</v>
      </c>
      <c r="H4" s="407"/>
    </row>
    <row r="5" spans="1:8">
      <c r="A5" s="387" t="s">
        <v>114</v>
      </c>
      <c r="B5" s="371">
        <f>'DATI UTENTE'!D30</f>
        <v>0</v>
      </c>
      <c r="D5" s="387" t="s">
        <v>81</v>
      </c>
      <c r="F5" s="371">
        <f>'DATI UTENTE'!D32</f>
        <v>0</v>
      </c>
      <c r="H5" s="387"/>
    </row>
    <row r="6" spans="1:8">
      <c r="A6" s="408" t="s">
        <v>431</v>
      </c>
      <c r="B6" s="371">
        <f>'DATI UTENTE'!D34</f>
        <v>0</v>
      </c>
      <c r="D6" s="408" t="s">
        <v>432</v>
      </c>
      <c r="F6" s="371">
        <f>'DATI UTENTE'!D36</f>
        <v>0</v>
      </c>
      <c r="H6" s="407"/>
    </row>
    <row r="7" spans="1:8">
      <c r="A7" s="408" t="s">
        <v>433</v>
      </c>
      <c r="B7" s="371">
        <f>'DATI UTENTE'!D38</f>
        <v>0</v>
      </c>
      <c r="H7" s="387"/>
    </row>
    <row r="8" spans="1:8">
      <c r="D8" s="373" t="s">
        <v>416</v>
      </c>
      <c r="F8" s="371" t="s">
        <v>107</v>
      </c>
    </row>
    <row r="9" spans="1:8">
      <c r="A9" s="365" t="s">
        <v>428</v>
      </c>
      <c r="B9" s="367" t="s">
        <v>605</v>
      </c>
      <c r="D9" s="370">
        <f>'DATI UTENTE'!D41</f>
        <v>0</v>
      </c>
      <c r="F9" s="372">
        <f>mc</f>
        <v>0</v>
      </c>
      <c r="H9" s="387"/>
    </row>
    <row r="10" spans="1:8">
      <c r="A10" s="365" t="s">
        <v>444</v>
      </c>
      <c r="B10" s="367" t="s">
        <v>445</v>
      </c>
      <c r="D10" s="370">
        <f>'DATI UTENTE'!D42</f>
        <v>0</v>
      </c>
      <c r="F10" s="372">
        <f>col</f>
        <v>0</v>
      </c>
      <c r="H10" s="387"/>
    </row>
    <row r="11" spans="1:8">
      <c r="A11" s="365" t="s">
        <v>11</v>
      </c>
      <c r="B11" s="367" t="s">
        <v>300</v>
      </c>
      <c r="D11" s="370">
        <f>'DATI UTENTE'!D43</f>
        <v>0</v>
      </c>
      <c r="F11" s="372">
        <f>cod</f>
        <v>0</v>
      </c>
    </row>
    <row r="12" spans="1:8" ht="15.75">
      <c r="A12" s="365" t="s">
        <v>429</v>
      </c>
      <c r="B12" s="367" t="s">
        <v>300</v>
      </c>
      <c r="D12" s="370">
        <f>'DATI UTENTE'!D44</f>
        <v>0</v>
      </c>
      <c r="F12" s="372">
        <f>bod</f>
        <v>0</v>
      </c>
      <c r="H12" s="387"/>
    </row>
    <row r="13" spans="1:8">
      <c r="A13" s="409" t="s">
        <v>443</v>
      </c>
      <c r="B13" s="367" t="s">
        <v>300</v>
      </c>
      <c r="D13" s="370">
        <f>'DATI UTENTE'!D45</f>
        <v>0</v>
      </c>
      <c r="F13" s="372">
        <f>sst</f>
        <v>0</v>
      </c>
    </row>
    <row r="14" spans="1:8">
      <c r="A14" s="410" t="s">
        <v>414</v>
      </c>
      <c r="B14" s="367" t="s">
        <v>300</v>
      </c>
      <c r="D14" s="370">
        <f>'DATI UTENTE'!D46</f>
        <v>0</v>
      </c>
      <c r="F14" s="372">
        <f>Tariffa_old!C28</f>
        <v>0</v>
      </c>
      <c r="H14" s="387"/>
    </row>
    <row r="15" spans="1:8">
      <c r="A15" s="409" t="s">
        <v>415</v>
      </c>
      <c r="B15" s="367" t="s">
        <v>300</v>
      </c>
      <c r="D15" s="370">
        <f>'DATI UTENTE'!D47</f>
        <v>0</v>
      </c>
      <c r="F15" s="377">
        <f>Tariffa_old!C29</f>
        <v>0</v>
      </c>
    </row>
    <row r="16" spans="1:8">
      <c r="H16" s="408"/>
    </row>
    <row r="17" spans="1:6">
      <c r="A17" s="579" t="s">
        <v>417</v>
      </c>
      <c r="B17" s="579"/>
      <c r="C17" s="579"/>
      <c r="D17" s="579"/>
      <c r="E17" s="579"/>
      <c r="F17" s="579"/>
    </row>
    <row r="18" spans="1:6">
      <c r="A18" s="402" t="s">
        <v>188</v>
      </c>
      <c r="B18" s="402" t="str">
        <f>Dati!B82</f>
        <v xml:space="preserve"> </v>
      </c>
      <c r="C18" s="403"/>
      <c r="D18" s="403"/>
    </row>
    <row r="19" spans="1:6">
      <c r="A19" s="402"/>
      <c r="B19" s="402" t="str">
        <f>Dati!B83</f>
        <v xml:space="preserve"> </v>
      </c>
      <c r="C19" s="380"/>
      <c r="D19" s="380"/>
    </row>
    <row r="20" spans="1:6">
      <c r="A20" s="402"/>
      <c r="B20" s="402" t="str">
        <f>Dati!B84</f>
        <v xml:space="preserve"> </v>
      </c>
      <c r="C20" s="380"/>
      <c r="D20" s="380"/>
    </row>
    <row r="21" spans="1:6">
      <c r="A21" s="402" t="s">
        <v>189</v>
      </c>
      <c r="B21" s="402" t="str">
        <f>Dati!B85</f>
        <v/>
      </c>
      <c r="C21" s="380"/>
      <c r="D21" s="380"/>
    </row>
    <row r="22" spans="1:6">
      <c r="A22" s="402" t="s">
        <v>207</v>
      </c>
      <c r="B22" s="402" t="str">
        <f>Dati!B86</f>
        <v/>
      </c>
      <c r="C22" s="380"/>
      <c r="D22" s="380"/>
    </row>
    <row r="23" spans="1:6">
      <c r="A23" s="402" t="s">
        <v>252</v>
      </c>
      <c r="B23" s="402" t="str">
        <f>Dati!B87</f>
        <v xml:space="preserve"> </v>
      </c>
      <c r="C23" s="380"/>
      <c r="D23" s="380"/>
    </row>
    <row r="24" spans="1:6">
      <c r="A24" s="402" t="s">
        <v>243</v>
      </c>
      <c r="B24" s="402" t="str">
        <f>Dati!B88</f>
        <v xml:space="preserve"> </v>
      </c>
      <c r="C24" s="380"/>
      <c r="D24" s="380"/>
    </row>
    <row r="25" spans="1:6">
      <c r="A25" s="380"/>
      <c r="B25" s="380"/>
      <c r="C25" s="380"/>
      <c r="D25" s="380"/>
    </row>
    <row r="26" spans="1:6" ht="14.25">
      <c r="A26" s="380"/>
      <c r="B26" s="380"/>
      <c r="C26" s="369" t="s">
        <v>589</v>
      </c>
      <c r="D26" s="369" t="s">
        <v>588</v>
      </c>
    </row>
    <row r="27" spans="1:6">
      <c r="A27" s="364" t="s">
        <v>418</v>
      </c>
      <c r="B27" s="366"/>
      <c r="C27" s="375" t="str">
        <f>Tariffa_old!D12</f>
        <v/>
      </c>
      <c r="D27" s="404" t="str">
        <f t="shared" ref="D27:D32" si="0">IF($F$9&gt;0,C27/$F$9,"")</f>
        <v/>
      </c>
    </row>
    <row r="28" spans="1:6">
      <c r="A28" s="364" t="s">
        <v>419</v>
      </c>
      <c r="B28" s="366"/>
      <c r="C28" s="375" t="str">
        <f>Tariffa_old!E12</f>
        <v/>
      </c>
      <c r="D28" s="404" t="str">
        <f t="shared" si="0"/>
        <v/>
      </c>
    </row>
    <row r="29" spans="1:6">
      <c r="A29" s="364" t="s">
        <v>420</v>
      </c>
      <c r="B29" s="366"/>
      <c r="C29" s="375" t="str">
        <f>Tariffa_old!F12</f>
        <v/>
      </c>
      <c r="D29" s="404" t="str">
        <f t="shared" si="0"/>
        <v/>
      </c>
    </row>
    <row r="30" spans="1:6">
      <c r="A30" s="364" t="s">
        <v>421</v>
      </c>
      <c r="B30" s="366"/>
      <c r="C30" s="375" t="str">
        <f>Tariffa_old!H12</f>
        <v/>
      </c>
      <c r="D30" s="404" t="str">
        <f t="shared" si="0"/>
        <v/>
      </c>
    </row>
    <row r="31" spans="1:6">
      <c r="A31" s="364" t="s">
        <v>351</v>
      </c>
      <c r="B31" s="366"/>
      <c r="C31" s="375">
        <f>Deroghe!B42</f>
        <v>0</v>
      </c>
      <c r="D31" s="404" t="str">
        <f t="shared" si="0"/>
        <v/>
      </c>
    </row>
    <row r="32" spans="1:6">
      <c r="A32" s="364" t="s">
        <v>621</v>
      </c>
      <c r="B32" s="366"/>
      <c r="C32" s="375" t="str">
        <f>Tariffa_old!J12</f>
        <v/>
      </c>
      <c r="D32" s="404" t="str">
        <f t="shared" si="0"/>
        <v/>
      </c>
    </row>
    <row r="33" spans="1:6">
      <c r="B33" s="369"/>
      <c r="C33" s="374" t="s">
        <v>430</v>
      </c>
      <c r="D33" s="480" t="s">
        <v>586</v>
      </c>
    </row>
    <row r="34" spans="1:6">
      <c r="A34" s="364" t="s">
        <v>610</v>
      </c>
      <c r="B34" s="366"/>
      <c r="C34" s="375" t="str">
        <f>IF(B3&gt;2016,SUM(C27:C32),"")</f>
        <v/>
      </c>
      <c r="D34" s="404" t="str">
        <f>IF($F$9&gt;0,C34/$F$9,"")</f>
        <v/>
      </c>
    </row>
    <row r="35" spans="1:6">
      <c r="A35" s="364"/>
      <c r="B35" s="366"/>
      <c r="C35" s="375"/>
    </row>
    <row r="36" spans="1:6">
      <c r="A36" s="578" t="s">
        <v>422</v>
      </c>
      <c r="B36" s="578"/>
      <c r="C36" s="578"/>
      <c r="D36" s="578"/>
      <c r="E36" s="578"/>
      <c r="F36" s="578"/>
    </row>
    <row r="37" spans="1:6">
      <c r="A37" s="406" t="s">
        <v>468</v>
      </c>
      <c r="B37" s="406" t="str">
        <f>IF(B3&gt;2016,Tariffa_New!J37,"")</f>
        <v/>
      </c>
      <c r="C37" s="381"/>
      <c r="D37" s="381"/>
    </row>
    <row r="38" spans="1:6">
      <c r="A38" s="406" t="s">
        <v>425</v>
      </c>
      <c r="B38" s="406" t="str">
        <f>IF(B3&gt;2016,Tariffa_New!J38,"")</f>
        <v/>
      </c>
      <c r="C38" s="381"/>
      <c r="D38" s="381"/>
    </row>
    <row r="39" spans="1:6">
      <c r="A39" s="406" t="s">
        <v>470</v>
      </c>
      <c r="B39" s="406" t="str">
        <f>IF(B3&gt;2016,Tariffa_New!J39,"")</f>
        <v/>
      </c>
      <c r="C39" s="381"/>
      <c r="D39" s="381"/>
    </row>
    <row r="40" spans="1:6">
      <c r="A40" s="406" t="s">
        <v>471</v>
      </c>
      <c r="B40" s="406" t="str">
        <f>IF(B3&gt;2016,Tariffa_New!J40,"")</f>
        <v/>
      </c>
      <c r="C40" s="381"/>
      <c r="D40" s="381"/>
    </row>
    <row r="41" spans="1:6">
      <c r="A41" s="406" t="s">
        <v>469</v>
      </c>
      <c r="B41" s="406" t="str">
        <f>IF(B3&gt;2016,Tariffa_New!J41,"")</f>
        <v/>
      </c>
      <c r="C41" s="381"/>
      <c r="D41" s="381"/>
    </row>
    <row r="42" spans="1:6">
      <c r="A42" s="402" t="s">
        <v>252</v>
      </c>
      <c r="B42" s="406" t="str">
        <f>B23</f>
        <v xml:space="preserve"> </v>
      </c>
      <c r="C42" s="381"/>
      <c r="D42" s="381"/>
    </row>
    <row r="43" spans="1:6">
      <c r="A43" s="402" t="s">
        <v>243</v>
      </c>
      <c r="B43" s="406" t="str">
        <f>B24</f>
        <v xml:space="preserve"> </v>
      </c>
      <c r="C43" s="381"/>
      <c r="D43" s="381"/>
    </row>
    <row r="44" spans="1:6">
      <c r="A44" s="406" t="s">
        <v>587</v>
      </c>
      <c r="B44" s="406" t="str">
        <f>IF(B3&gt;2016,Tariffa_New!J42,"")</f>
        <v/>
      </c>
      <c r="C44" s="381"/>
      <c r="D44" s="381"/>
    </row>
    <row r="45" spans="1:6">
      <c r="A45" s="381"/>
      <c r="B45" s="381"/>
      <c r="C45" s="381"/>
      <c r="D45" s="381"/>
    </row>
    <row r="46" spans="1:6" ht="14.25">
      <c r="A46" s="381"/>
      <c r="B46" s="381"/>
      <c r="C46" s="369" t="s">
        <v>589</v>
      </c>
      <c r="D46" s="369" t="s">
        <v>588</v>
      </c>
    </row>
    <row r="47" spans="1:6">
      <c r="A47" s="364" t="s">
        <v>423</v>
      </c>
      <c r="B47" s="366"/>
      <c r="C47" s="375" t="str">
        <f>IF(B3&gt;2016,Tariffa_New!BW53,"")</f>
        <v/>
      </c>
      <c r="D47" s="404" t="str">
        <f t="shared" ref="D47:D52" si="1">IF($F$9&gt;0,C47/$F$9,"")</f>
        <v/>
      </c>
    </row>
    <row r="48" spans="1:6">
      <c r="A48" s="364" t="s">
        <v>424</v>
      </c>
      <c r="B48" s="366"/>
      <c r="C48" s="375" t="str">
        <f>IF(B3&gt;2016,Tariffa_New!BX53,"")</f>
        <v/>
      </c>
      <c r="D48" s="404" t="str">
        <f t="shared" si="1"/>
        <v/>
      </c>
    </row>
    <row r="49" spans="1:6">
      <c r="A49" s="364" t="s">
        <v>425</v>
      </c>
      <c r="B49" s="366"/>
      <c r="C49" s="375" t="str">
        <f>IF(B3&gt;2016,Tariffa_New!BY53,"")</f>
        <v/>
      </c>
      <c r="D49" s="404" t="str">
        <f t="shared" si="1"/>
        <v/>
      </c>
    </row>
    <row r="50" spans="1:6">
      <c r="A50" s="364" t="s">
        <v>426</v>
      </c>
      <c r="B50" s="366"/>
      <c r="C50" s="375" t="str">
        <f>IF(B3&gt;2016,Tariffa_New!BZ53,"")</f>
        <v/>
      </c>
      <c r="D50" s="404" t="str">
        <f t="shared" si="1"/>
        <v/>
      </c>
    </row>
    <row r="51" spans="1:6">
      <c r="A51" s="364" t="s">
        <v>427</v>
      </c>
      <c r="B51" s="366"/>
      <c r="C51" s="375" t="str">
        <f>IF(B3&gt;2016,Tariffa_New!CA53,"")</f>
        <v/>
      </c>
      <c r="D51" s="404" t="str">
        <f t="shared" si="1"/>
        <v/>
      </c>
    </row>
    <row r="52" spans="1:6">
      <c r="A52" s="364" t="s">
        <v>621</v>
      </c>
      <c r="B52" s="366"/>
      <c r="C52" s="376" t="str">
        <f>Tariffa_New!CB53</f>
        <v/>
      </c>
      <c r="D52" s="404" t="str">
        <f t="shared" si="1"/>
        <v/>
      </c>
    </row>
    <row r="53" spans="1:6">
      <c r="B53" s="369"/>
      <c r="C53" s="374" t="s">
        <v>430</v>
      </c>
      <c r="D53" s="480" t="s">
        <v>586</v>
      </c>
    </row>
    <row r="54" spans="1:6">
      <c r="A54" s="364" t="s">
        <v>436</v>
      </c>
      <c r="B54" s="366"/>
      <c r="C54" s="375" t="str">
        <f>IF(B3&gt;2016,Tariffa_New!CF53,"")</f>
        <v/>
      </c>
      <c r="D54" s="404" t="str">
        <f>IF($F$9&gt;0,C54/$F$9,"")</f>
        <v/>
      </c>
    </row>
    <row r="55" spans="1:6">
      <c r="A55" s="365"/>
      <c r="B55" s="369"/>
    </row>
    <row r="56" spans="1:6">
      <c r="A56" s="382" t="s">
        <v>435</v>
      </c>
      <c r="B56" s="383"/>
      <c r="C56" s="384" t="str">
        <f>IF(B3&gt;2016,IF(ISNUMBER(Tariffa_New!CQ53),Tariffa_New!CQ53,0),"")</f>
        <v/>
      </c>
      <c r="D56" s="481" t="str">
        <f>IF($F$9&gt;0,C56/$F$9,"")</f>
        <v/>
      </c>
      <c r="E56" s="482"/>
      <c r="F56" s="483"/>
    </row>
  </sheetData>
  <sheetProtection algorithmName="SHA-512" hashValue="xHGhBPq4OnsfzNJQR4MRRGK6T55y5GH73QhIYUQLUUpO6kUff0GND0ewMZliYqwQo6NCwi1Ah8K27A8WHpS2Gw==" saltValue="pLBCfP4mlypLgOCdEWk5WA==" spinCount="100000" sheet="1" objects="1" scenarios="1"/>
  <mergeCells count="3">
    <mergeCell ref="A36:F36"/>
    <mergeCell ref="A17:F17"/>
    <mergeCell ref="A1:F1"/>
  </mergeCells>
  <pageMargins left="0.78740157480314965" right="0.39370078740157483" top="0.78740157480314965" bottom="0.78740157480314965" header="0.31496062992125984" footer="0.31496062992125984"/>
  <pageSetup paperSize="9" scale="90" orientation="portrait" r:id="rId1"/>
  <headerFooter>
    <oddFooter>&amp;R&amp;"Arial,Normale"&amp;8Lariana Depur - Calcolo tariffe - Tariffa - pag. &amp;P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1:AJ120"/>
  <sheetViews>
    <sheetView showGridLines="0" showOutlineSymbols="0" workbookViewId="0">
      <pane xSplit="3" ySplit="16" topLeftCell="D17" activePane="bottomRight" state="frozen"/>
      <selection activeCell="E49" sqref="E49:O49"/>
      <selection pane="topRight" activeCell="E49" sqref="E49:O49"/>
      <selection pane="bottomLeft" activeCell="E49" sqref="E49:O49"/>
      <selection pane="bottomRight" activeCell="F12" sqref="F12"/>
    </sheetView>
  </sheetViews>
  <sheetFormatPr defaultColWidth="9.140625" defaultRowHeight="11.25"/>
  <cols>
    <col min="1" max="1" width="15.28515625" style="31" customWidth="1"/>
    <col min="2" max="2" width="4.7109375" style="31" customWidth="1"/>
    <col min="3" max="3" width="9.7109375" style="31" customWidth="1"/>
    <col min="4" max="4" width="10.5703125" style="31" customWidth="1"/>
    <col min="5" max="11" width="10" style="31" customWidth="1"/>
    <col min="12" max="20" width="9.7109375" style="31" customWidth="1"/>
    <col min="21" max="16384" width="9.140625" style="31"/>
  </cols>
  <sheetData>
    <row r="1" spans="1:22" ht="12.95" customHeight="1">
      <c r="A1" s="378"/>
      <c r="B1" s="378"/>
      <c r="D1" s="583" t="s">
        <v>202</v>
      </c>
      <c r="E1" s="583"/>
      <c r="F1" s="583"/>
      <c r="G1" s="585" t="str">
        <f>"-  Calcolo del corrispettivo di utenza - anno "&amp;Delibere!$A$61 &amp;" s. e. &amp; o."</f>
        <v>-  Calcolo del corrispettivo di utenza - anno (dal 2016) s. e. &amp; o.</v>
      </c>
      <c r="H1" s="585"/>
      <c r="I1" s="585"/>
      <c r="J1" s="585"/>
      <c r="K1" s="585"/>
    </row>
    <row r="2" spans="1:22" s="90" customFormat="1" ht="12.95" customHeight="1">
      <c r="A2" s="355"/>
      <c r="B2" s="355"/>
      <c r="D2" s="583"/>
      <c r="E2" s="583"/>
      <c r="F2" s="583"/>
      <c r="G2" s="585"/>
      <c r="H2" s="585"/>
      <c r="I2" s="585"/>
      <c r="J2" s="585"/>
      <c r="K2" s="585"/>
      <c r="L2" s="221"/>
      <c r="M2" s="221"/>
      <c r="N2" s="221"/>
      <c r="O2" s="221"/>
      <c r="P2" s="221"/>
      <c r="Q2" s="221"/>
      <c r="R2" s="221"/>
      <c r="S2" s="221"/>
      <c r="T2" s="221"/>
      <c r="V2" s="91"/>
    </row>
    <row r="3" spans="1:22" ht="13.5" customHeight="1">
      <c r="A3" s="597"/>
      <c r="B3" s="597"/>
      <c r="C3" s="597"/>
      <c r="D3" s="596" t="s">
        <v>206</v>
      </c>
      <c r="E3" s="596"/>
      <c r="F3" s="596"/>
      <c r="G3" s="596"/>
      <c r="H3" s="596"/>
      <c r="I3" s="596"/>
      <c r="J3" s="596"/>
      <c r="K3" s="596"/>
      <c r="L3" s="221"/>
      <c r="M3" s="221"/>
      <c r="N3" s="221"/>
      <c r="O3" s="221"/>
      <c r="P3" s="221"/>
      <c r="Q3" s="221"/>
      <c r="R3" s="221"/>
      <c r="S3" s="221"/>
      <c r="T3" s="221"/>
      <c r="V3" s="30"/>
    </row>
    <row r="4" spans="1:22" ht="12" customHeight="1">
      <c r="A4" s="219"/>
      <c r="B4" s="219"/>
      <c r="C4" s="219"/>
      <c r="D4" s="84" t="s">
        <v>188</v>
      </c>
      <c r="E4" s="584" t="str">
        <f>Dati!B82</f>
        <v xml:space="preserve"> </v>
      </c>
      <c r="F4" s="584"/>
      <c r="G4" s="584"/>
      <c r="H4" s="584"/>
      <c r="I4" s="584"/>
      <c r="J4" s="584"/>
      <c r="K4" s="584"/>
      <c r="L4" s="221"/>
      <c r="M4" s="221"/>
      <c r="N4" s="221"/>
      <c r="O4" s="221"/>
      <c r="P4" s="221"/>
      <c r="Q4" s="221"/>
      <c r="R4" s="221"/>
      <c r="S4" s="221"/>
      <c r="T4" s="221"/>
      <c r="V4" s="30"/>
    </row>
    <row r="5" spans="1:22" ht="12" customHeight="1">
      <c r="A5" s="400" t="s">
        <v>467</v>
      </c>
      <c r="B5" s="586">
        <f>Dati!D20</f>
        <v>0</v>
      </c>
      <c r="C5" s="587"/>
      <c r="E5" s="584" t="str">
        <f>Dati!B83</f>
        <v xml:space="preserve"> </v>
      </c>
      <c r="F5" s="584"/>
      <c r="G5" s="584"/>
      <c r="H5" s="584"/>
      <c r="I5" s="584"/>
      <c r="J5" s="584"/>
      <c r="K5" s="584"/>
      <c r="L5" s="221"/>
      <c r="M5" s="221"/>
      <c r="N5" s="221"/>
      <c r="O5" s="221"/>
      <c r="P5" s="221"/>
      <c r="Q5" s="221"/>
      <c r="R5" s="221"/>
      <c r="S5" s="221"/>
      <c r="T5" s="221"/>
      <c r="V5" s="30"/>
    </row>
    <row r="6" spans="1:22" ht="12" customHeight="1">
      <c r="A6" s="400" t="s">
        <v>215</v>
      </c>
      <c r="B6" s="600">
        <f>Dati!D21</f>
        <v>0</v>
      </c>
      <c r="C6" s="601"/>
      <c r="E6" s="599" t="str">
        <f>Dati!B84</f>
        <v xml:space="preserve"> </v>
      </c>
      <c r="F6" s="599"/>
      <c r="G6" s="599"/>
      <c r="H6" s="599"/>
      <c r="I6" s="599"/>
      <c r="J6" s="599"/>
      <c r="K6" s="599"/>
      <c r="L6" s="221"/>
      <c r="M6" s="221"/>
      <c r="N6" s="221"/>
      <c r="O6" s="221"/>
      <c r="P6" s="221"/>
      <c r="Q6" s="221"/>
      <c r="R6" s="221"/>
      <c r="S6" s="221"/>
      <c r="T6" s="221"/>
      <c r="V6" s="30"/>
    </row>
    <row r="7" spans="1:22" ht="11.25" customHeight="1">
      <c r="A7" s="401" t="s">
        <v>114</v>
      </c>
      <c r="B7" s="602">
        <f>Dati!D22</f>
        <v>0</v>
      </c>
      <c r="C7" s="595"/>
      <c r="D7" s="84" t="s">
        <v>189</v>
      </c>
      <c r="E7" s="584" t="str">
        <f>Dati!B85</f>
        <v/>
      </c>
      <c r="F7" s="584"/>
      <c r="G7" s="584"/>
      <c r="H7" s="584"/>
      <c r="I7" s="584"/>
      <c r="J7" s="584"/>
      <c r="K7" s="584"/>
      <c r="L7" s="221"/>
      <c r="M7" s="221"/>
      <c r="N7" s="221"/>
      <c r="O7" s="221"/>
      <c r="P7" s="221"/>
      <c r="Q7" s="221"/>
      <c r="R7" s="221"/>
      <c r="S7" s="221"/>
      <c r="T7" s="221"/>
      <c r="V7" s="30"/>
    </row>
    <row r="8" spans="1:22" ht="13.5" customHeight="1">
      <c r="A8" s="401" t="s">
        <v>81</v>
      </c>
      <c r="B8" s="594">
        <f>Dati!D23</f>
        <v>0</v>
      </c>
      <c r="C8" s="595"/>
      <c r="D8" s="84" t="s">
        <v>207</v>
      </c>
      <c r="E8" s="584" t="str">
        <f>Dati!B86</f>
        <v/>
      </c>
      <c r="F8" s="584"/>
      <c r="G8" s="584"/>
      <c r="H8" s="584"/>
      <c r="I8" s="584"/>
      <c r="J8" s="584"/>
      <c r="K8" s="584"/>
      <c r="L8" s="221"/>
      <c r="M8" s="221"/>
      <c r="N8" s="221"/>
      <c r="O8" s="221"/>
      <c r="P8" s="221"/>
      <c r="Q8" s="221"/>
      <c r="R8" s="221"/>
      <c r="S8" s="221"/>
      <c r="T8" s="221"/>
      <c r="V8" s="30"/>
    </row>
    <row r="9" spans="1:22" ht="13.5" customHeight="1">
      <c r="A9" s="219"/>
      <c r="B9" s="219"/>
      <c r="C9" s="219"/>
      <c r="D9" s="224" t="s">
        <v>252</v>
      </c>
      <c r="E9" s="218"/>
      <c r="F9" s="218" t="str">
        <f>Dati!B87</f>
        <v xml:space="preserve"> </v>
      </c>
      <c r="G9" s="218"/>
      <c r="H9" s="218"/>
      <c r="I9" s="218"/>
      <c r="J9" s="218"/>
      <c r="K9" s="218"/>
      <c r="L9" s="221"/>
      <c r="M9" s="221"/>
      <c r="N9" s="221"/>
      <c r="O9" s="221"/>
      <c r="P9" s="221"/>
      <c r="Q9" s="221"/>
      <c r="R9" s="221"/>
      <c r="S9" s="221"/>
      <c r="T9" s="221"/>
      <c r="V9" s="30"/>
    </row>
    <row r="10" spans="1:22" ht="13.5" customHeight="1" thickBot="1">
      <c r="A10" s="219"/>
      <c r="B10" s="219"/>
      <c r="C10" s="219"/>
      <c r="D10" s="224" t="s">
        <v>243</v>
      </c>
      <c r="E10" s="218"/>
      <c r="F10" s="218" t="str">
        <f>Dati!B88</f>
        <v xml:space="preserve"> </v>
      </c>
      <c r="G10" s="218"/>
      <c r="H10" s="218"/>
      <c r="I10" s="218"/>
      <c r="J10" s="218"/>
      <c r="K10" s="218"/>
      <c r="L10" s="221"/>
      <c r="M10" s="221"/>
      <c r="N10" s="221"/>
      <c r="O10" s="221"/>
      <c r="P10" s="221"/>
      <c r="Q10" s="221"/>
      <c r="R10" s="221"/>
      <c r="S10" s="221"/>
      <c r="T10" s="221"/>
      <c r="V10" s="30"/>
    </row>
    <row r="11" spans="1:22" ht="12.75" customHeight="1" thickTop="1" thickBot="1">
      <c r="A11" s="219"/>
      <c r="B11" s="219"/>
      <c r="C11" s="219"/>
      <c r="D11" s="94" t="s">
        <v>0</v>
      </c>
      <c r="E11" s="94" t="s">
        <v>1</v>
      </c>
      <c r="F11" s="94" t="s">
        <v>191</v>
      </c>
      <c r="G11" s="95" t="s">
        <v>185</v>
      </c>
      <c r="H11" s="95" t="s">
        <v>186</v>
      </c>
      <c r="I11" s="95" t="s">
        <v>192</v>
      </c>
      <c r="J11" s="96" t="str">
        <f>Dati!A61</f>
        <v xml:space="preserve">Comp.Tarif. </v>
      </c>
      <c r="K11" s="95" t="s">
        <v>2</v>
      </c>
      <c r="L11" s="221"/>
      <c r="M11" s="221"/>
      <c r="N11" s="221"/>
      <c r="O11" s="221"/>
      <c r="P11" s="221"/>
      <c r="Q11" s="221"/>
      <c r="R11" s="221"/>
      <c r="S11" s="221"/>
      <c r="T11" s="221"/>
      <c r="V11" s="30"/>
    </row>
    <row r="12" spans="1:22" ht="11.25" customHeight="1">
      <c r="A12" s="592" t="s">
        <v>193</v>
      </c>
      <c r="B12" s="592"/>
      <c r="C12" s="593"/>
      <c r="D12" s="85" t="str">
        <f>Dati!B52</f>
        <v/>
      </c>
      <c r="E12" s="86" t="str">
        <f>Dati!B53</f>
        <v/>
      </c>
      <c r="F12" s="86" t="str">
        <f>Dati!B54</f>
        <v/>
      </c>
      <c r="G12" s="87" t="str">
        <f>Dati!B55</f>
        <v/>
      </c>
      <c r="H12" s="87" t="str">
        <f>Dati!B59</f>
        <v/>
      </c>
      <c r="I12" s="87" t="str">
        <f>Dati!B60</f>
        <v/>
      </c>
      <c r="J12" s="87" t="str">
        <f>Dati!C61</f>
        <v/>
      </c>
      <c r="K12" s="88" t="str">
        <f>Dati!B64</f>
        <v/>
      </c>
      <c r="L12" s="221"/>
      <c r="M12" s="221"/>
      <c r="N12" s="221"/>
      <c r="O12" s="221"/>
      <c r="P12" s="221"/>
      <c r="Q12" s="221"/>
      <c r="R12" s="221"/>
      <c r="S12" s="221"/>
      <c r="T12" s="221"/>
      <c r="V12" s="30"/>
    </row>
    <row r="13" spans="1:22" ht="12" customHeight="1" thickBot="1">
      <c r="A13" s="589" t="s">
        <v>205</v>
      </c>
      <c r="B13" s="589"/>
      <c r="C13" s="590"/>
      <c r="D13" s="231" t="str">
        <f>Dati!C52</f>
        <v/>
      </c>
      <c r="E13" s="232" t="str">
        <f>Dati!C53</f>
        <v/>
      </c>
      <c r="F13" s="232" t="str">
        <f>Dati!C54</f>
        <v/>
      </c>
      <c r="G13" s="233" t="str">
        <f>Dati!C55</f>
        <v/>
      </c>
      <c r="H13" s="233" t="str">
        <f>Dati!C59</f>
        <v/>
      </c>
      <c r="I13" s="233" t="str">
        <f>Dati!C60</f>
        <v/>
      </c>
      <c r="J13" s="233" t="str">
        <f>Dati!D61</f>
        <v/>
      </c>
      <c r="K13" s="234" t="str">
        <f>Dati!C64</f>
        <v/>
      </c>
      <c r="L13" s="221"/>
      <c r="M13" s="221"/>
      <c r="N13" s="221"/>
      <c r="O13" s="221"/>
      <c r="P13" s="221"/>
      <c r="Q13" s="221"/>
      <c r="R13" s="221"/>
      <c r="S13" s="221"/>
      <c r="T13" s="221"/>
      <c r="V13" s="30"/>
    </row>
    <row r="14" spans="1:22">
      <c r="A14" s="591"/>
      <c r="B14" s="591"/>
      <c r="C14" s="591"/>
      <c r="D14" s="598" t="s">
        <v>190</v>
      </c>
      <c r="E14" s="598"/>
      <c r="F14" s="598"/>
      <c r="G14" s="598"/>
      <c r="H14" s="598"/>
      <c r="I14" s="598"/>
      <c r="J14" s="598"/>
      <c r="K14" s="598"/>
      <c r="L14" s="598"/>
      <c r="M14" s="598"/>
      <c r="N14" s="598"/>
      <c r="O14" s="598"/>
      <c r="P14" s="598"/>
      <c r="Q14" s="598"/>
      <c r="R14" s="598"/>
      <c r="S14" s="598"/>
      <c r="T14" s="598"/>
      <c r="V14" s="30"/>
    </row>
    <row r="15" spans="1:22" ht="12" thickBot="1">
      <c r="A15" s="588" t="s">
        <v>117</v>
      </c>
      <c r="B15" s="588"/>
      <c r="C15" s="588"/>
      <c r="D15" s="15" t="s">
        <v>49</v>
      </c>
      <c r="E15" s="52" t="s">
        <v>30</v>
      </c>
      <c r="F15" s="14" t="s">
        <v>31</v>
      </c>
      <c r="G15" s="12" t="s">
        <v>32</v>
      </c>
      <c r="H15" s="14" t="s">
        <v>33</v>
      </c>
      <c r="I15" s="12" t="s">
        <v>34</v>
      </c>
      <c r="J15" s="14" t="s">
        <v>35</v>
      </c>
      <c r="K15" s="12" t="s">
        <v>36</v>
      </c>
      <c r="L15" s="14" t="s">
        <v>37</v>
      </c>
      <c r="M15" s="12" t="s">
        <v>38</v>
      </c>
      <c r="N15" s="14" t="s">
        <v>39</v>
      </c>
      <c r="O15" s="14" t="s">
        <v>40</v>
      </c>
      <c r="P15" s="12" t="s">
        <v>41</v>
      </c>
      <c r="Q15" s="14" t="s">
        <v>42</v>
      </c>
      <c r="R15" s="12" t="s">
        <v>43</v>
      </c>
      <c r="S15" s="14" t="s">
        <v>44</v>
      </c>
      <c r="T15" s="13" t="s">
        <v>45</v>
      </c>
      <c r="V15" s="30"/>
    </row>
    <row r="16" spans="1:22" ht="12" thickBot="1">
      <c r="A16" s="1" t="s">
        <v>3</v>
      </c>
      <c r="B16" s="2"/>
      <c r="C16" s="356" t="s">
        <v>48</v>
      </c>
      <c r="D16" s="220">
        <v>41275</v>
      </c>
      <c r="E16" s="93">
        <f>'DATI UTENTE'!F60</f>
        <v>0</v>
      </c>
      <c r="F16" s="93">
        <f>'DATI UTENTE'!G60</f>
        <v>0</v>
      </c>
      <c r="G16" s="93">
        <f>'DATI UTENTE'!H60</f>
        <v>0</v>
      </c>
      <c r="H16" s="93">
        <f>'DATI UTENTE'!I60</f>
        <v>0</v>
      </c>
      <c r="I16" s="93">
        <f>'DATI UTENTE'!F70</f>
        <v>0</v>
      </c>
      <c r="J16" s="93">
        <f>'DATI UTENTE'!G70</f>
        <v>0</v>
      </c>
      <c r="K16" s="93">
        <f>'DATI UTENTE'!H70</f>
        <v>0</v>
      </c>
      <c r="L16" s="93">
        <f>'DATI UTENTE'!I70</f>
        <v>0</v>
      </c>
      <c r="M16" s="93">
        <f>'DATI UTENTE'!F80</f>
        <v>0</v>
      </c>
      <c r="N16" s="93">
        <f>'DATI UTENTE'!G80</f>
        <v>0</v>
      </c>
      <c r="O16" s="93">
        <f>'DATI UTENTE'!H80</f>
        <v>0</v>
      </c>
      <c r="P16" s="93">
        <f>'DATI UTENTE'!I80</f>
        <v>0</v>
      </c>
      <c r="Q16" s="93">
        <f>'DATI UTENTE'!F90</f>
        <v>0</v>
      </c>
      <c r="R16" s="93">
        <f>'DATI UTENTE'!G90</f>
        <v>0</v>
      </c>
      <c r="S16" s="93">
        <f>'DATI UTENTE'!H90</f>
        <v>0</v>
      </c>
      <c r="T16" s="93">
        <f>'DATI UTENTE'!I90</f>
        <v>0</v>
      </c>
    </row>
    <row r="17" spans="1:20">
      <c r="A17" s="3" t="s">
        <v>4</v>
      </c>
      <c r="B17" s="32" t="s">
        <v>5</v>
      </c>
      <c r="C17" s="357">
        <f>Dati!C5</f>
        <v>0</v>
      </c>
      <c r="D17" s="83">
        <f>'DATI UTENTE'!I50</f>
        <v>0</v>
      </c>
      <c r="E17" s="83">
        <f>'DATI UTENTE'!F61</f>
        <v>0</v>
      </c>
      <c r="F17" s="83">
        <f>'DATI UTENTE'!G61</f>
        <v>0</v>
      </c>
      <c r="G17" s="83">
        <f>'DATI UTENTE'!H61</f>
        <v>0</v>
      </c>
      <c r="H17" s="83">
        <f>'DATI UTENTE'!I61</f>
        <v>0</v>
      </c>
      <c r="I17" s="83">
        <f>'DATI UTENTE'!F71</f>
        <v>0</v>
      </c>
      <c r="J17" s="83">
        <f>'DATI UTENTE'!G71</f>
        <v>0</v>
      </c>
      <c r="K17" s="83">
        <f>'DATI UTENTE'!H71</f>
        <v>0</v>
      </c>
      <c r="L17" s="83">
        <f>'DATI UTENTE'!I71</f>
        <v>0</v>
      </c>
      <c r="M17" s="83">
        <f>'DATI UTENTE'!F81</f>
        <v>0</v>
      </c>
      <c r="N17" s="83">
        <f>'DATI UTENTE'!G81</f>
        <v>0</v>
      </c>
      <c r="O17" s="83">
        <f>'DATI UTENTE'!H81</f>
        <v>0</v>
      </c>
      <c r="P17" s="83">
        <f>'DATI UTENTE'!I81</f>
        <v>0</v>
      </c>
      <c r="Q17" s="83">
        <f>'DATI UTENTE'!F91</f>
        <v>0</v>
      </c>
      <c r="R17" s="83">
        <f>'DATI UTENTE'!G91</f>
        <v>0</v>
      </c>
      <c r="S17" s="83">
        <f>'DATI UTENTE'!H91</f>
        <v>0</v>
      </c>
      <c r="T17" s="83">
        <f>'DATI UTENTE'!I91</f>
        <v>0</v>
      </c>
    </row>
    <row r="18" spans="1:20">
      <c r="A18" s="3" t="s">
        <v>6</v>
      </c>
      <c r="B18" s="32" t="s">
        <v>7</v>
      </c>
      <c r="C18" s="358">
        <f>Dati!C7</f>
        <v>0</v>
      </c>
      <c r="D18" s="78">
        <f>'DATI UTENTE'!I51</f>
        <v>0</v>
      </c>
      <c r="E18" s="78">
        <f>'DATI UTENTE'!F62</f>
        <v>0</v>
      </c>
      <c r="F18" s="78">
        <f>'DATI UTENTE'!G62</f>
        <v>0</v>
      </c>
      <c r="G18" s="78">
        <f>'DATI UTENTE'!H62</f>
        <v>0</v>
      </c>
      <c r="H18" s="78">
        <f>'DATI UTENTE'!I62</f>
        <v>0</v>
      </c>
      <c r="I18" s="78">
        <f>'DATI UTENTE'!F72</f>
        <v>0</v>
      </c>
      <c r="J18" s="78">
        <f>'DATI UTENTE'!G72</f>
        <v>0</v>
      </c>
      <c r="K18" s="78">
        <f>'DATI UTENTE'!H72</f>
        <v>0</v>
      </c>
      <c r="L18" s="78">
        <f>'DATI UTENTE'!I72</f>
        <v>0</v>
      </c>
      <c r="M18" s="78">
        <f>'DATI UTENTE'!F82</f>
        <v>0</v>
      </c>
      <c r="N18" s="78">
        <f>'DATI UTENTE'!G82</f>
        <v>0</v>
      </c>
      <c r="O18" s="78">
        <f>'DATI UTENTE'!H82</f>
        <v>0</v>
      </c>
      <c r="P18" s="78">
        <f>'DATI UTENTE'!I82</f>
        <v>0</v>
      </c>
      <c r="Q18" s="78">
        <f>'DATI UTENTE'!F92</f>
        <v>0</v>
      </c>
      <c r="R18" s="78">
        <f>'DATI UTENTE'!G92</f>
        <v>0</v>
      </c>
      <c r="S18" s="78">
        <f>'DATI UTENTE'!H92</f>
        <v>0</v>
      </c>
      <c r="T18" s="78">
        <f>'DATI UTENTE'!I92</f>
        <v>0</v>
      </c>
    </row>
    <row r="19" spans="1:20" hidden="1">
      <c r="A19" s="4" t="s">
        <v>8</v>
      </c>
      <c r="B19" s="8"/>
      <c r="C19" s="359">
        <f>Dati!C8</f>
        <v>0</v>
      </c>
      <c r="D19" s="89"/>
      <c r="E19" s="89"/>
      <c r="F19" s="89"/>
      <c r="G19" s="89"/>
      <c r="H19" s="89"/>
      <c r="I19" s="89"/>
      <c r="J19" s="89"/>
      <c r="K19" s="89"/>
      <c r="L19" s="89"/>
      <c r="M19" s="89"/>
      <c r="N19" s="89"/>
      <c r="O19" s="89"/>
      <c r="P19" s="89"/>
      <c r="Q19" s="89"/>
      <c r="R19" s="89"/>
      <c r="S19" s="89"/>
      <c r="T19" s="89"/>
    </row>
    <row r="20" spans="1:20">
      <c r="A20" s="5" t="s">
        <v>9</v>
      </c>
      <c r="B20" s="9" t="s">
        <v>10</v>
      </c>
      <c r="C20" s="358">
        <f>Dati!C9</f>
        <v>0</v>
      </c>
      <c r="D20" s="78">
        <f>'DATI UTENTE'!I54</f>
        <v>0</v>
      </c>
      <c r="E20" s="78">
        <f>'DATI UTENTE'!F65</f>
        <v>0</v>
      </c>
      <c r="F20" s="78">
        <f>'DATI UTENTE'!G65</f>
        <v>0</v>
      </c>
      <c r="G20" s="78">
        <f>'DATI UTENTE'!H65</f>
        <v>0</v>
      </c>
      <c r="H20" s="78">
        <f>'DATI UTENTE'!I65</f>
        <v>0</v>
      </c>
      <c r="I20" s="78">
        <f>'DATI UTENTE'!F75</f>
        <v>0</v>
      </c>
      <c r="J20" s="78">
        <f>'DATI UTENTE'!G75</f>
        <v>0</v>
      </c>
      <c r="K20" s="78">
        <f>'DATI UTENTE'!H75</f>
        <v>0</v>
      </c>
      <c r="L20" s="78">
        <f>'DATI UTENTE'!I75</f>
        <v>0</v>
      </c>
      <c r="M20" s="78">
        <f>'DATI UTENTE'!F85</f>
        <v>0</v>
      </c>
      <c r="N20" s="78">
        <f>'DATI UTENTE'!G85</f>
        <v>0</v>
      </c>
      <c r="O20" s="78">
        <f>'DATI UTENTE'!H85</f>
        <v>0</v>
      </c>
      <c r="P20" s="78">
        <f>'DATI UTENTE'!I85</f>
        <v>0</v>
      </c>
      <c r="Q20" s="78">
        <f>'DATI UTENTE'!F95</f>
        <v>0</v>
      </c>
      <c r="R20" s="78">
        <f>'DATI UTENTE'!G95</f>
        <v>0</v>
      </c>
      <c r="S20" s="78">
        <f>'DATI UTENTE'!H95</f>
        <v>0</v>
      </c>
      <c r="T20" s="78">
        <f>'DATI UTENTE'!I95</f>
        <v>0</v>
      </c>
    </row>
    <row r="21" spans="1:20">
      <c r="A21" s="5" t="s">
        <v>11</v>
      </c>
      <c r="B21" s="9" t="s">
        <v>10</v>
      </c>
      <c r="C21" s="358">
        <f>Dati!C10</f>
        <v>0</v>
      </c>
      <c r="D21" s="75">
        <f>'DATI UTENTE'!I52</f>
        <v>0</v>
      </c>
      <c r="E21" s="75">
        <f>'DATI UTENTE'!F63</f>
        <v>0</v>
      </c>
      <c r="F21" s="75">
        <f>'DATI UTENTE'!G63</f>
        <v>0</v>
      </c>
      <c r="G21" s="75">
        <f>'DATI UTENTE'!H63</f>
        <v>0</v>
      </c>
      <c r="H21" s="75">
        <f>'DATI UTENTE'!I63</f>
        <v>0</v>
      </c>
      <c r="I21" s="75">
        <f>'DATI UTENTE'!F73</f>
        <v>0</v>
      </c>
      <c r="J21" s="75">
        <f>'DATI UTENTE'!G73</f>
        <v>0</v>
      </c>
      <c r="K21" s="75">
        <f>'DATI UTENTE'!H73</f>
        <v>0</v>
      </c>
      <c r="L21" s="75">
        <f>'DATI UTENTE'!I73</f>
        <v>0</v>
      </c>
      <c r="M21" s="75">
        <f>'DATI UTENTE'!F83</f>
        <v>0</v>
      </c>
      <c r="N21" s="75">
        <f>'DATI UTENTE'!G83</f>
        <v>0</v>
      </c>
      <c r="O21" s="75">
        <f>'DATI UTENTE'!H83</f>
        <v>0</v>
      </c>
      <c r="P21" s="75">
        <f>'DATI UTENTE'!I83</f>
        <v>0</v>
      </c>
      <c r="Q21" s="75">
        <f>'DATI UTENTE'!F93</f>
        <v>0</v>
      </c>
      <c r="R21" s="75">
        <f>'DATI UTENTE'!G93</f>
        <v>0</v>
      </c>
      <c r="S21" s="75">
        <f>'DATI UTENTE'!H93</f>
        <v>0</v>
      </c>
      <c r="T21" s="75">
        <f>'DATI UTENTE'!I93</f>
        <v>0</v>
      </c>
    </row>
    <row r="22" spans="1:20">
      <c r="A22" s="5" t="s">
        <v>12</v>
      </c>
      <c r="B22" s="9" t="s">
        <v>10</v>
      </c>
      <c r="C22" s="358">
        <f>Dati!C11</f>
        <v>0</v>
      </c>
      <c r="D22" s="78">
        <f>'DATI UTENTE'!I53</f>
        <v>0</v>
      </c>
      <c r="E22" s="78">
        <f>'DATI UTENTE'!F64</f>
        <v>0</v>
      </c>
      <c r="F22" s="78">
        <f>'DATI UTENTE'!G64</f>
        <v>0</v>
      </c>
      <c r="G22" s="78">
        <f>'DATI UTENTE'!H64</f>
        <v>0</v>
      </c>
      <c r="H22" s="78">
        <f>'DATI UTENTE'!I64</f>
        <v>0</v>
      </c>
      <c r="I22" s="78">
        <f>'DATI UTENTE'!F74</f>
        <v>0</v>
      </c>
      <c r="J22" s="78">
        <f>'DATI UTENTE'!G74</f>
        <v>0</v>
      </c>
      <c r="K22" s="78">
        <f>'DATI UTENTE'!H74</f>
        <v>0</v>
      </c>
      <c r="L22" s="78">
        <f>'DATI UTENTE'!I74</f>
        <v>0</v>
      </c>
      <c r="M22" s="78">
        <f>'DATI UTENTE'!F84</f>
        <v>0</v>
      </c>
      <c r="N22" s="78">
        <f>'DATI UTENTE'!G84</f>
        <v>0</v>
      </c>
      <c r="O22" s="78">
        <f>'DATI UTENTE'!H84</f>
        <v>0</v>
      </c>
      <c r="P22" s="78">
        <f>'DATI UTENTE'!I84</f>
        <v>0</v>
      </c>
      <c r="Q22" s="78">
        <f>'DATI UTENTE'!F94</f>
        <v>0</v>
      </c>
      <c r="R22" s="78">
        <f>'DATI UTENTE'!G94</f>
        <v>0</v>
      </c>
      <c r="S22" s="78">
        <f>'DATI UTENTE'!H94</f>
        <v>0</v>
      </c>
      <c r="T22" s="78">
        <f>'DATI UTENTE'!I94</f>
        <v>0</v>
      </c>
    </row>
    <row r="23" spans="1:20">
      <c r="A23" s="6" t="s">
        <v>13</v>
      </c>
      <c r="B23" s="10" t="s">
        <v>7</v>
      </c>
      <c r="C23" s="360">
        <f>Dati!C18</f>
        <v>0</v>
      </c>
      <c r="D23" s="33" t="str">
        <f t="shared" ref="D23" si="0">IF(D22&gt;0,D21/D22,"")</f>
        <v/>
      </c>
      <c r="E23" s="33" t="str">
        <f t="shared" ref="E23:T23" si="1">IF(E22&gt;0,E21/E22,"")</f>
        <v/>
      </c>
      <c r="F23" s="33" t="str">
        <f t="shared" si="1"/>
        <v/>
      </c>
      <c r="G23" s="33" t="str">
        <f t="shared" si="1"/>
        <v/>
      </c>
      <c r="H23" s="33" t="str">
        <f t="shared" si="1"/>
        <v/>
      </c>
      <c r="I23" s="33" t="str">
        <f t="shared" si="1"/>
        <v/>
      </c>
      <c r="J23" s="33" t="str">
        <f t="shared" si="1"/>
        <v/>
      </c>
      <c r="K23" s="33" t="str">
        <f t="shared" si="1"/>
        <v/>
      </c>
      <c r="L23" s="33" t="str">
        <f t="shared" si="1"/>
        <v/>
      </c>
      <c r="M23" s="33" t="str">
        <f t="shared" si="1"/>
        <v/>
      </c>
      <c r="N23" s="33" t="str">
        <f t="shared" si="1"/>
        <v/>
      </c>
      <c r="O23" s="33" t="str">
        <f t="shared" si="1"/>
        <v/>
      </c>
      <c r="P23" s="33" t="str">
        <f t="shared" si="1"/>
        <v/>
      </c>
      <c r="Q23" s="33" t="str">
        <f t="shared" si="1"/>
        <v/>
      </c>
      <c r="R23" s="33" t="str">
        <f t="shared" si="1"/>
        <v/>
      </c>
      <c r="S23" s="33" t="str">
        <f t="shared" si="1"/>
        <v/>
      </c>
      <c r="T23" s="33" t="str">
        <f t="shared" si="1"/>
        <v/>
      </c>
    </row>
    <row r="24" spans="1:20">
      <c r="A24" s="6" t="s">
        <v>209</v>
      </c>
      <c r="B24" s="10" t="s">
        <v>7</v>
      </c>
      <c r="C24" s="360">
        <f>rapp-Delibere!D41</f>
        <v>-0.1</v>
      </c>
      <c r="D24" s="164"/>
      <c r="E24" s="164"/>
      <c r="F24" s="164"/>
      <c r="G24" s="164"/>
      <c r="H24" s="164"/>
      <c r="I24" s="164"/>
      <c r="J24" s="164"/>
      <c r="K24" s="164"/>
      <c r="L24" s="164"/>
      <c r="M24" s="164"/>
      <c r="N24" s="164"/>
      <c r="O24" s="164"/>
      <c r="P24" s="164"/>
      <c r="Q24" s="164"/>
      <c r="R24" s="164"/>
      <c r="S24" s="164"/>
      <c r="T24" s="164"/>
    </row>
    <row r="25" spans="1:20" hidden="1">
      <c r="A25" s="5" t="s">
        <v>14</v>
      </c>
      <c r="B25" s="9" t="s">
        <v>10</v>
      </c>
      <c r="C25" s="361" t="s">
        <v>15</v>
      </c>
      <c r="D25" s="75"/>
      <c r="E25" s="75"/>
      <c r="F25" s="75"/>
      <c r="G25" s="75"/>
      <c r="H25" s="75"/>
      <c r="I25" s="75"/>
      <c r="J25" s="75"/>
      <c r="K25" s="75"/>
      <c r="L25" s="75"/>
      <c r="M25" s="75"/>
      <c r="N25" s="75"/>
      <c r="O25" s="75"/>
      <c r="P25" s="75"/>
      <c r="Q25" s="75"/>
      <c r="R25" s="75"/>
      <c r="S25" s="75"/>
      <c r="T25" s="75"/>
    </row>
    <row r="26" spans="1:20" hidden="1">
      <c r="A26" s="5" t="s">
        <v>16</v>
      </c>
      <c r="B26" s="9" t="s">
        <v>10</v>
      </c>
      <c r="C26" s="361" t="s">
        <v>15</v>
      </c>
      <c r="D26" s="75"/>
      <c r="E26" s="75"/>
      <c r="F26" s="75"/>
      <c r="G26" s="75"/>
      <c r="H26" s="75"/>
      <c r="I26" s="75"/>
      <c r="J26" s="75"/>
      <c r="K26" s="75"/>
      <c r="L26" s="75"/>
      <c r="M26" s="75"/>
      <c r="N26" s="75"/>
      <c r="O26" s="75"/>
      <c r="P26" s="75"/>
      <c r="Q26" s="75"/>
      <c r="R26" s="75"/>
      <c r="S26" s="75"/>
      <c r="T26" s="75"/>
    </row>
    <row r="27" spans="1:20" hidden="1">
      <c r="A27" s="5" t="s">
        <v>17</v>
      </c>
      <c r="B27" s="9" t="s">
        <v>10</v>
      </c>
      <c r="C27" s="359">
        <f>Dati!C12</f>
        <v>0</v>
      </c>
      <c r="D27" s="34" t="str">
        <f>IF(SUM(D25:D26)=0,"",D25+D26)</f>
        <v/>
      </c>
      <c r="E27" s="34" t="str">
        <f t="shared" ref="E27:T27" si="2">IF(SUM(E25:E26)=0,"",E25+E26)</f>
        <v/>
      </c>
      <c r="F27" s="34" t="str">
        <f t="shared" si="2"/>
        <v/>
      </c>
      <c r="G27" s="34" t="str">
        <f t="shared" si="2"/>
        <v/>
      </c>
      <c r="H27" s="34" t="str">
        <f t="shared" si="2"/>
        <v/>
      </c>
      <c r="I27" s="34" t="str">
        <f t="shared" si="2"/>
        <v/>
      </c>
      <c r="J27" s="34" t="str">
        <f t="shared" si="2"/>
        <v/>
      </c>
      <c r="K27" s="34" t="str">
        <f t="shared" si="2"/>
        <v/>
      </c>
      <c r="L27" s="34" t="str">
        <f t="shared" si="2"/>
        <v/>
      </c>
      <c r="M27" s="34" t="str">
        <f t="shared" si="2"/>
        <v/>
      </c>
      <c r="N27" s="34" t="str">
        <f t="shared" si="2"/>
        <v/>
      </c>
      <c r="O27" s="34" t="str">
        <f t="shared" si="2"/>
        <v/>
      </c>
      <c r="P27" s="34" t="str">
        <f t="shared" si="2"/>
        <v/>
      </c>
      <c r="Q27" s="34" t="str">
        <f t="shared" si="2"/>
        <v/>
      </c>
      <c r="R27" s="34" t="str">
        <f t="shared" si="2"/>
        <v/>
      </c>
      <c r="S27" s="34" t="str">
        <f t="shared" si="2"/>
        <v/>
      </c>
      <c r="T27" s="34" t="str">
        <f t="shared" si="2"/>
        <v/>
      </c>
    </row>
    <row r="28" spans="1:20">
      <c r="A28" s="6" t="s">
        <v>414</v>
      </c>
      <c r="B28" s="10" t="s">
        <v>10</v>
      </c>
      <c r="C28" s="361">
        <f>Dati!C13</f>
        <v>0</v>
      </c>
      <c r="D28" s="363">
        <f>'DATI UTENTE'!I55</f>
        <v>0</v>
      </c>
      <c r="E28" s="363">
        <f>'DATI UTENTE'!F66</f>
        <v>0</v>
      </c>
      <c r="F28" s="363">
        <f>'DATI UTENTE'!G66</f>
        <v>0</v>
      </c>
      <c r="G28" s="363">
        <f>'DATI UTENTE'!H66</f>
        <v>0</v>
      </c>
      <c r="H28" s="363">
        <f>'DATI UTENTE'!I66</f>
        <v>0</v>
      </c>
      <c r="I28" s="363">
        <f>'DATI UTENTE'!F76</f>
        <v>0</v>
      </c>
      <c r="J28" s="363">
        <f>'DATI UTENTE'!G76</f>
        <v>0</v>
      </c>
      <c r="K28" s="363">
        <f>'DATI UTENTE'!H76</f>
        <v>0</v>
      </c>
      <c r="L28" s="363">
        <f>'DATI UTENTE'!I76</f>
        <v>0</v>
      </c>
      <c r="M28" s="363">
        <f>'DATI UTENTE'!F86</f>
        <v>0</v>
      </c>
      <c r="N28" s="363">
        <f>'DATI UTENTE'!G86</f>
        <v>0</v>
      </c>
      <c r="O28" s="363">
        <f>'DATI UTENTE'!H86</f>
        <v>0</v>
      </c>
      <c r="P28" s="363">
        <f>'DATI UTENTE'!I86</f>
        <v>0</v>
      </c>
      <c r="Q28" s="363">
        <f>'DATI UTENTE'!F96</f>
        <v>0</v>
      </c>
      <c r="R28" s="363">
        <f>'DATI UTENTE'!G96</f>
        <v>0</v>
      </c>
      <c r="S28" s="363">
        <f>'DATI UTENTE'!H96</f>
        <v>0</v>
      </c>
      <c r="T28" s="363">
        <f>'DATI UTENTE'!I96</f>
        <v>0</v>
      </c>
    </row>
    <row r="29" spans="1:20">
      <c r="A29" s="5" t="s">
        <v>415</v>
      </c>
      <c r="B29" s="9" t="s">
        <v>10</v>
      </c>
      <c r="C29" s="362">
        <f>Dati!C14</f>
        <v>0</v>
      </c>
      <c r="D29" s="81">
        <f>'DATI UTENTE'!I56</f>
        <v>0</v>
      </c>
      <c r="E29" s="81">
        <f>'DATI UTENTE'!F67</f>
        <v>0</v>
      </c>
      <c r="F29" s="81">
        <f>'DATI UTENTE'!G67</f>
        <v>0</v>
      </c>
      <c r="G29" s="81">
        <f>'DATI UTENTE'!H67</f>
        <v>0</v>
      </c>
      <c r="H29" s="81">
        <f>'DATI UTENTE'!I67</f>
        <v>0</v>
      </c>
      <c r="I29" s="81">
        <f>'DATI UTENTE'!F77</f>
        <v>0</v>
      </c>
      <c r="J29" s="81">
        <f>'DATI UTENTE'!G77</f>
        <v>0</v>
      </c>
      <c r="K29" s="81">
        <f>'DATI UTENTE'!H77</f>
        <v>0</v>
      </c>
      <c r="L29" s="81">
        <f>'DATI UTENTE'!I77</f>
        <v>0</v>
      </c>
      <c r="M29" s="81">
        <f>'DATI UTENTE'!F87</f>
        <v>0</v>
      </c>
      <c r="N29" s="81">
        <f>'DATI UTENTE'!G87</f>
        <v>0</v>
      </c>
      <c r="O29" s="81">
        <f>'DATI UTENTE'!H87</f>
        <v>0</v>
      </c>
      <c r="P29" s="81">
        <f>'DATI UTENTE'!I87</f>
        <v>0</v>
      </c>
      <c r="Q29" s="81">
        <f>'DATI UTENTE'!F97</f>
        <v>0</v>
      </c>
      <c r="R29" s="81">
        <f>'DATI UTENTE'!G97</f>
        <v>0</v>
      </c>
      <c r="S29" s="81">
        <f>'DATI UTENTE'!H97</f>
        <v>0</v>
      </c>
      <c r="T29" s="81">
        <f>'DATI UTENTE'!I97</f>
        <v>0</v>
      </c>
    </row>
    <row r="30" spans="1:20" hidden="1">
      <c r="A30" s="5" t="s">
        <v>18</v>
      </c>
      <c r="B30" s="9" t="s">
        <v>10</v>
      </c>
      <c r="C30" s="100">
        <f>Dati!C15</f>
        <v>0</v>
      </c>
      <c r="D30" s="81"/>
      <c r="E30" s="76"/>
      <c r="F30" s="76"/>
      <c r="G30" s="76"/>
      <c r="H30" s="76"/>
      <c r="I30" s="76"/>
      <c r="J30" s="76"/>
      <c r="K30" s="76"/>
      <c r="L30" s="76"/>
      <c r="M30" s="76"/>
      <c r="N30" s="76"/>
      <c r="O30" s="76"/>
      <c r="P30" s="76"/>
      <c r="Q30" s="76"/>
      <c r="R30" s="76"/>
      <c r="S30" s="76"/>
      <c r="T30" s="77"/>
    </row>
    <row r="31" spans="1:20" hidden="1">
      <c r="A31" s="5" t="s">
        <v>19</v>
      </c>
      <c r="B31" s="9" t="s">
        <v>10</v>
      </c>
      <c r="C31" s="100">
        <f>Dati!C16</f>
        <v>0</v>
      </c>
      <c r="D31" s="82"/>
      <c r="E31" s="79"/>
      <c r="F31" s="79"/>
      <c r="G31" s="79"/>
      <c r="H31" s="79"/>
      <c r="I31" s="79"/>
      <c r="J31" s="79"/>
      <c r="K31" s="79"/>
      <c r="L31" s="79"/>
      <c r="M31" s="79"/>
      <c r="N31" s="79"/>
      <c r="O31" s="79"/>
      <c r="P31" s="79"/>
      <c r="Q31" s="79"/>
      <c r="R31" s="79"/>
      <c r="S31" s="79"/>
      <c r="T31" s="80"/>
    </row>
    <row r="32" spans="1:20" ht="12" hidden="1" thickBot="1">
      <c r="A32" s="7" t="s">
        <v>50</v>
      </c>
      <c r="B32" s="11" t="s">
        <v>10</v>
      </c>
      <c r="C32" s="101">
        <f>Dati!C17</f>
        <v>0</v>
      </c>
      <c r="D32" s="35" t="str">
        <f>IF(SUM(D28:D31)=0,"",SUM(D28:D31))</f>
        <v/>
      </c>
      <c r="E32" s="36" t="str">
        <f t="shared" ref="E32:K32" si="3">IF(SUM(E28:E31)=0,"",SUM(E28:E31))</f>
        <v/>
      </c>
      <c r="F32" s="36"/>
      <c r="G32" s="36" t="str">
        <f t="shared" si="3"/>
        <v/>
      </c>
      <c r="H32" s="36" t="str">
        <f t="shared" si="3"/>
        <v/>
      </c>
      <c r="I32" s="36" t="str">
        <f t="shared" si="3"/>
        <v/>
      </c>
      <c r="J32" s="36" t="str">
        <f t="shared" si="3"/>
        <v/>
      </c>
      <c r="K32" s="36" t="str">
        <f t="shared" si="3"/>
        <v/>
      </c>
      <c r="L32" s="36" t="str">
        <f t="shared" ref="L32:T32" si="4">IF(SUM(L28:L31)=0,"",SUM(L28:L31))</f>
        <v/>
      </c>
      <c r="M32" s="36" t="str">
        <f t="shared" si="4"/>
        <v/>
      </c>
      <c r="N32" s="36" t="str">
        <f t="shared" si="4"/>
        <v/>
      </c>
      <c r="O32" s="36" t="str">
        <f t="shared" si="4"/>
        <v/>
      </c>
      <c r="P32" s="36" t="str">
        <f t="shared" si="4"/>
        <v/>
      </c>
      <c r="Q32" s="36" t="str">
        <f t="shared" si="4"/>
        <v/>
      </c>
      <c r="R32" s="36" t="str">
        <f t="shared" si="4"/>
        <v/>
      </c>
      <c r="S32" s="36" t="str">
        <f t="shared" si="4"/>
        <v/>
      </c>
      <c r="T32" s="37" t="str">
        <f t="shared" si="4"/>
        <v/>
      </c>
    </row>
    <row r="33" spans="1:22" s="38" customFormat="1" ht="12.75"/>
    <row r="34" spans="1:22" s="38" customFormat="1" ht="12.75">
      <c r="A34" s="98" t="s">
        <v>208</v>
      </c>
      <c r="B34" s="97"/>
      <c r="C34" s="97"/>
      <c r="D34" s="97"/>
      <c r="E34" s="97"/>
      <c r="F34" s="97"/>
      <c r="G34" s="97"/>
      <c r="H34" s="97"/>
      <c r="I34" s="97"/>
      <c r="J34" s="97"/>
      <c r="K34" s="97"/>
      <c r="L34" s="97"/>
      <c r="M34" s="97"/>
      <c r="N34" s="97"/>
      <c r="O34" s="97"/>
      <c r="P34" s="97"/>
      <c r="Q34" s="97"/>
      <c r="R34" s="97"/>
      <c r="S34" s="97"/>
      <c r="T34" s="97"/>
    </row>
    <row r="35" spans="1:22" s="38" customFormat="1" ht="12.75">
      <c r="A35" s="99" t="s">
        <v>211</v>
      </c>
      <c r="B35" s="41"/>
      <c r="C35" s="42"/>
      <c r="D35" s="167" t="s">
        <v>253</v>
      </c>
      <c r="E35" s="43"/>
      <c r="F35" s="43"/>
      <c r="G35" s="43"/>
      <c r="H35" s="43"/>
      <c r="I35" s="43"/>
      <c r="J35" s="43"/>
      <c r="K35" s="43"/>
      <c r="L35" s="168">
        <f>Delibere!D41</f>
        <v>0.1</v>
      </c>
      <c r="M35" s="167" t="s">
        <v>213</v>
      </c>
      <c r="N35" s="43"/>
      <c r="O35" s="43"/>
      <c r="P35" s="43"/>
      <c r="Q35" s="43"/>
      <c r="R35" s="43"/>
      <c r="S35" s="43"/>
      <c r="T35" s="43"/>
    </row>
    <row r="36" spans="1:22" ht="12.75">
      <c r="A36" s="98" t="s">
        <v>212</v>
      </c>
      <c r="B36" s="16"/>
      <c r="C36" s="42"/>
      <c r="D36" s="167"/>
      <c r="E36" s="43"/>
      <c r="F36" s="43"/>
      <c r="G36" s="43"/>
      <c r="H36" s="43"/>
      <c r="I36" s="43"/>
      <c r="J36" s="43"/>
      <c r="K36" s="43"/>
      <c r="O36" s="43"/>
      <c r="P36" s="43"/>
      <c r="Q36" s="43"/>
      <c r="R36" s="43"/>
      <c r="S36" s="43"/>
      <c r="T36" s="43"/>
    </row>
    <row r="37" spans="1:22">
      <c r="A37" s="16" t="s">
        <v>437</v>
      </c>
      <c r="B37" s="16"/>
      <c r="C37" s="42"/>
      <c r="D37" s="43"/>
      <c r="E37" s="43"/>
      <c r="F37" s="43"/>
      <c r="G37" s="43"/>
      <c r="H37" s="43"/>
      <c r="I37" s="43"/>
      <c r="J37" s="43"/>
      <c r="K37" s="43"/>
      <c r="L37" s="43"/>
      <c r="M37" s="43"/>
      <c r="N37" s="43"/>
      <c r="O37" s="43"/>
      <c r="P37" s="43"/>
      <c r="Q37" s="43"/>
      <c r="R37" s="43"/>
      <c r="S37" s="43"/>
      <c r="T37" s="43"/>
    </row>
    <row r="38" spans="1:22">
      <c r="A38" s="16" t="s">
        <v>55</v>
      </c>
      <c r="B38" s="16"/>
      <c r="C38" s="42"/>
      <c r="D38" s="43"/>
      <c r="E38" s="43"/>
      <c r="F38" s="43"/>
      <c r="G38" s="43"/>
      <c r="H38" s="43"/>
      <c r="I38" s="43"/>
      <c r="J38" s="43"/>
      <c r="K38" s="43"/>
      <c r="L38" s="43"/>
      <c r="M38" s="43"/>
      <c r="N38" s="43"/>
      <c r="O38" s="43"/>
      <c r="P38" s="43"/>
      <c r="Q38" s="43"/>
      <c r="R38" s="43"/>
      <c r="S38" s="43"/>
      <c r="T38" s="43"/>
    </row>
    <row r="39" spans="1:22">
      <c r="A39" s="16">
        <v>12</v>
      </c>
      <c r="B39" s="16"/>
      <c r="C39" s="42"/>
      <c r="D39" s="43"/>
      <c r="E39" s="43"/>
      <c r="F39" s="43"/>
      <c r="G39" s="43"/>
      <c r="H39" s="43"/>
      <c r="I39" s="43"/>
      <c r="J39" s="43"/>
      <c r="K39" s="43"/>
      <c r="L39" s="43"/>
      <c r="M39" s="43"/>
      <c r="N39" s="43"/>
      <c r="O39" s="43"/>
      <c r="P39" s="43"/>
      <c r="Q39" s="43"/>
      <c r="R39" s="43"/>
      <c r="S39" s="43"/>
      <c r="T39" s="43"/>
      <c r="U39" s="17"/>
      <c r="V39" s="17"/>
    </row>
    <row r="40" spans="1:22">
      <c r="A40" s="16"/>
      <c r="B40" s="16"/>
      <c r="C40" s="42"/>
      <c r="D40" s="43"/>
      <c r="E40" s="43"/>
      <c r="F40" s="43"/>
      <c r="G40" s="43"/>
      <c r="H40" s="43"/>
      <c r="I40" s="43"/>
      <c r="J40" s="43"/>
      <c r="K40" s="43"/>
      <c r="L40" s="43"/>
      <c r="M40" s="43"/>
      <c r="N40" s="43"/>
      <c r="O40" s="43"/>
      <c r="P40" s="43"/>
      <c r="Q40" s="43"/>
      <c r="R40" s="43"/>
      <c r="S40" s="43"/>
      <c r="T40" s="43"/>
      <c r="U40" s="44"/>
      <c r="V40" s="44"/>
    </row>
    <row r="41" spans="1:22">
      <c r="A41" s="16"/>
      <c r="B41" s="16"/>
      <c r="C41" s="42"/>
      <c r="D41" s="43"/>
      <c r="E41" s="43"/>
      <c r="F41" s="43"/>
      <c r="G41" s="43"/>
      <c r="H41" s="43"/>
      <c r="I41" s="43"/>
      <c r="J41" s="43"/>
      <c r="K41" s="43"/>
      <c r="L41" s="43"/>
      <c r="M41" s="43"/>
      <c r="N41" s="43"/>
      <c r="O41" s="43"/>
      <c r="P41" s="43"/>
      <c r="Q41" s="43"/>
      <c r="R41" s="43"/>
      <c r="S41" s="43"/>
      <c r="T41" s="43"/>
      <c r="U41" s="44"/>
      <c r="V41" s="44"/>
    </row>
    <row r="42" spans="1:22">
      <c r="A42" s="16"/>
      <c r="B42" s="16"/>
      <c r="C42" s="42"/>
      <c r="D42" s="43"/>
      <c r="E42" s="43"/>
      <c r="F42" s="43"/>
      <c r="G42" s="43"/>
      <c r="H42" s="43"/>
      <c r="I42" s="43"/>
      <c r="J42" s="43"/>
      <c r="K42" s="43"/>
      <c r="L42" s="43"/>
      <c r="M42" s="43"/>
      <c r="N42" s="43"/>
      <c r="O42" s="43"/>
      <c r="P42" s="43"/>
      <c r="Q42" s="43"/>
      <c r="R42" s="43"/>
      <c r="S42" s="43"/>
      <c r="T42" s="43"/>
      <c r="U42" s="44"/>
      <c r="V42" s="44"/>
    </row>
    <row r="43" spans="1:22">
      <c r="A43" s="16"/>
      <c r="B43" s="16"/>
      <c r="C43" s="42"/>
      <c r="D43" s="43"/>
      <c r="E43" s="43"/>
      <c r="F43" s="43"/>
      <c r="G43" s="43"/>
      <c r="H43" s="43"/>
      <c r="I43" s="43"/>
      <c r="J43" s="43"/>
      <c r="K43" s="43"/>
      <c r="L43" s="43"/>
      <c r="M43" s="43"/>
      <c r="N43" s="43"/>
      <c r="O43" s="43"/>
      <c r="P43" s="43"/>
      <c r="Q43" s="43"/>
      <c r="R43" s="43"/>
      <c r="S43" s="43"/>
      <c r="T43" s="43"/>
      <c r="U43" s="44"/>
      <c r="V43" s="44"/>
    </row>
    <row r="44" spans="1:22">
      <c r="A44" s="16"/>
      <c r="B44" s="16"/>
      <c r="C44" s="42"/>
      <c r="D44" s="43"/>
      <c r="E44" s="43"/>
      <c r="F44" s="43"/>
      <c r="G44" s="43"/>
      <c r="H44" s="43"/>
      <c r="I44" s="43"/>
      <c r="J44" s="43"/>
      <c r="K44" s="43"/>
      <c r="L44" s="43"/>
      <c r="M44" s="43"/>
      <c r="N44" s="43"/>
      <c r="O44" s="43"/>
      <c r="P44" s="43"/>
      <c r="Q44" s="43"/>
      <c r="R44" s="43"/>
      <c r="S44" s="43"/>
      <c r="T44" s="43"/>
      <c r="U44" s="44"/>
      <c r="V44" s="44"/>
    </row>
    <row r="45" spans="1:22">
      <c r="A45" s="16"/>
      <c r="B45" s="16"/>
      <c r="C45" s="42"/>
      <c r="D45" s="43"/>
      <c r="E45" s="43"/>
      <c r="F45" s="43"/>
      <c r="G45" s="43"/>
      <c r="H45" s="43"/>
      <c r="I45" s="43"/>
      <c r="J45" s="43"/>
      <c r="K45" s="43"/>
      <c r="L45" s="43"/>
      <c r="M45" s="43"/>
      <c r="N45" s="43"/>
      <c r="O45" s="43"/>
      <c r="P45" s="43"/>
      <c r="Q45" s="43"/>
      <c r="R45" s="43"/>
      <c r="S45" s="43"/>
      <c r="T45" s="43"/>
      <c r="U45" s="44"/>
      <c r="V45" s="44"/>
    </row>
    <row r="46" spans="1:22">
      <c r="B46" s="15"/>
      <c r="C46" s="44"/>
      <c r="D46" s="44"/>
      <c r="E46" s="45"/>
      <c r="F46" s="45"/>
      <c r="G46" s="45"/>
      <c r="H46" s="45"/>
      <c r="I46" s="44"/>
      <c r="J46" s="44"/>
      <c r="K46" s="44"/>
      <c r="L46" s="44"/>
      <c r="M46" s="44"/>
      <c r="N46" s="44"/>
      <c r="O46" s="44"/>
      <c r="P46" s="44"/>
      <c r="Q46" s="44"/>
      <c r="R46" s="44"/>
      <c r="S46" s="44"/>
      <c r="T46" s="44"/>
      <c r="U46" s="44"/>
      <c r="V46" s="44"/>
    </row>
    <row r="47" spans="1:22" ht="12.75">
      <c r="A47" s="46"/>
      <c r="B47" s="15"/>
      <c r="C47" s="44"/>
      <c r="D47" s="44"/>
      <c r="E47" s="45"/>
      <c r="F47" s="45"/>
      <c r="G47" s="45"/>
      <c r="H47" s="45"/>
      <c r="I47" s="44"/>
      <c r="J47" s="44"/>
      <c r="K47" s="44"/>
      <c r="L47" s="44"/>
      <c r="M47" s="44"/>
      <c r="N47" s="44"/>
      <c r="O47" s="44"/>
      <c r="P47" s="44"/>
      <c r="Q47" s="44"/>
      <c r="R47" s="44"/>
      <c r="S47" s="44"/>
      <c r="T47" s="44"/>
      <c r="U47" s="44"/>
      <c r="V47" s="44"/>
    </row>
    <row r="48" spans="1:22">
      <c r="B48" s="15"/>
      <c r="C48" s="44"/>
      <c r="D48" s="44"/>
      <c r="E48" s="45"/>
      <c r="F48" s="45"/>
      <c r="G48" s="45"/>
      <c r="H48" s="45"/>
      <c r="I48" s="44"/>
      <c r="J48" s="44"/>
      <c r="K48" s="44"/>
      <c r="L48" s="44"/>
      <c r="M48" s="44"/>
      <c r="N48" s="44"/>
      <c r="O48" s="44"/>
      <c r="P48" s="44"/>
      <c r="Q48" s="44"/>
      <c r="R48" s="44"/>
      <c r="S48" s="44"/>
      <c r="T48" s="44"/>
      <c r="U48" s="44"/>
      <c r="V48" s="44"/>
    </row>
    <row r="49" spans="1:36">
      <c r="A49" s="47"/>
      <c r="B49" s="18"/>
      <c r="C49" s="17"/>
      <c r="D49" s="17"/>
      <c r="E49" s="19"/>
      <c r="F49" s="19"/>
      <c r="G49" s="19"/>
      <c r="H49" s="19"/>
      <c r="I49" s="17"/>
      <c r="J49" s="17"/>
      <c r="K49" s="17"/>
      <c r="L49" s="17"/>
      <c r="M49" s="17"/>
      <c r="N49" s="17"/>
      <c r="O49" s="17"/>
      <c r="P49" s="17"/>
      <c r="Q49" s="17"/>
      <c r="R49" s="17"/>
      <c r="S49" s="17"/>
      <c r="T49" s="17"/>
      <c r="U49" s="17"/>
      <c r="V49" s="17"/>
      <c r="W49" s="20"/>
      <c r="X49" s="20"/>
      <c r="Y49" s="20"/>
      <c r="Z49" s="20"/>
      <c r="AA49" s="20"/>
      <c r="AB49" s="20"/>
      <c r="AC49" s="20"/>
      <c r="AD49" s="20"/>
      <c r="AE49" s="20"/>
      <c r="AF49" s="20"/>
      <c r="AG49" s="20"/>
      <c r="AH49" s="20"/>
      <c r="AI49" s="20"/>
      <c r="AJ49" s="20"/>
    </row>
    <row r="50" spans="1:36">
      <c r="B50" s="15"/>
      <c r="C50" s="48"/>
      <c r="D50" s="48"/>
      <c r="E50" s="49"/>
      <c r="F50" s="49"/>
      <c r="G50" s="49"/>
      <c r="H50" s="49"/>
      <c r="I50" s="48"/>
      <c r="J50" s="48"/>
      <c r="K50" s="48"/>
      <c r="L50" s="48"/>
      <c r="M50" s="48"/>
      <c r="N50" s="48"/>
      <c r="O50" s="48"/>
      <c r="P50" s="48"/>
      <c r="Q50" s="48"/>
      <c r="R50" s="48"/>
      <c r="S50" s="48"/>
      <c r="T50" s="48"/>
      <c r="U50" s="48"/>
      <c r="V50" s="48"/>
      <c r="W50" s="21"/>
      <c r="X50" s="22"/>
      <c r="Y50" s="22"/>
      <c r="Z50" s="22"/>
      <c r="AA50" s="22"/>
      <c r="AB50" s="21"/>
      <c r="AC50" s="21"/>
      <c r="AD50" s="21"/>
      <c r="AE50" s="22"/>
      <c r="AF50" s="22"/>
      <c r="AG50" s="22"/>
      <c r="AH50" s="22"/>
      <c r="AI50" s="21"/>
      <c r="AJ50" s="21"/>
    </row>
    <row r="51" spans="1:36">
      <c r="B51" s="15"/>
      <c r="C51" s="48"/>
      <c r="D51" s="48"/>
      <c r="E51" s="49"/>
      <c r="F51" s="49"/>
      <c r="G51" s="49"/>
      <c r="H51" s="49"/>
      <c r="I51" s="48"/>
      <c r="J51" s="48"/>
      <c r="K51" s="48"/>
      <c r="L51" s="48"/>
      <c r="M51" s="48"/>
      <c r="N51" s="48"/>
      <c r="O51" s="48"/>
      <c r="P51" s="48"/>
      <c r="Q51" s="48"/>
      <c r="R51" s="48"/>
      <c r="S51" s="48"/>
      <c r="T51" s="48"/>
      <c r="U51" s="48"/>
      <c r="V51" s="48"/>
      <c r="W51" s="21"/>
      <c r="X51" s="22"/>
      <c r="Y51" s="22"/>
      <c r="Z51" s="22"/>
      <c r="AA51" s="22"/>
      <c r="AB51" s="21"/>
      <c r="AC51" s="21"/>
      <c r="AD51" s="21"/>
      <c r="AE51" s="22"/>
      <c r="AF51" s="22"/>
      <c r="AG51" s="22"/>
      <c r="AH51" s="22"/>
      <c r="AI51" s="21"/>
      <c r="AJ51" s="21"/>
    </row>
    <row r="52" spans="1:36">
      <c r="B52" s="15"/>
      <c r="C52" s="48"/>
      <c r="D52" s="48"/>
      <c r="E52" s="49"/>
      <c r="F52" s="49"/>
      <c r="G52" s="49"/>
      <c r="H52" s="49"/>
      <c r="I52" s="48"/>
      <c r="J52" s="48"/>
      <c r="K52" s="48"/>
      <c r="L52" s="48"/>
      <c r="M52" s="48"/>
      <c r="N52" s="48"/>
      <c r="O52" s="48"/>
      <c r="P52" s="48"/>
      <c r="Q52" s="48"/>
      <c r="R52" s="48"/>
      <c r="S52" s="48"/>
      <c r="T52" s="48"/>
      <c r="U52" s="48"/>
      <c r="V52" s="48"/>
      <c r="W52" s="21"/>
      <c r="X52" s="22"/>
      <c r="Y52" s="22"/>
      <c r="Z52" s="22"/>
      <c r="AA52" s="22"/>
      <c r="AB52" s="21"/>
      <c r="AC52" s="21"/>
      <c r="AD52" s="21"/>
      <c r="AE52" s="22"/>
      <c r="AF52" s="22"/>
      <c r="AG52" s="22"/>
      <c r="AH52" s="22"/>
      <c r="AI52" s="21"/>
      <c r="AJ52" s="21"/>
    </row>
    <row r="53" spans="1:36">
      <c r="B53" s="15"/>
      <c r="C53" s="48"/>
      <c r="D53" s="48"/>
      <c r="E53" s="49"/>
      <c r="F53" s="49"/>
      <c r="G53" s="49"/>
      <c r="H53" s="49"/>
      <c r="I53" s="48"/>
      <c r="J53" s="48"/>
      <c r="K53" s="48"/>
      <c r="L53" s="48"/>
      <c r="M53" s="48"/>
      <c r="N53" s="48"/>
      <c r="O53" s="48"/>
      <c r="P53" s="48"/>
      <c r="Q53" s="48"/>
      <c r="R53" s="48"/>
      <c r="S53" s="48"/>
      <c r="T53" s="48"/>
      <c r="U53" s="48"/>
      <c r="V53" s="48"/>
      <c r="W53" s="21"/>
      <c r="X53" s="22"/>
      <c r="Y53" s="22"/>
      <c r="Z53" s="22"/>
      <c r="AA53" s="22"/>
      <c r="AB53" s="21"/>
      <c r="AC53" s="21"/>
      <c r="AD53" s="21"/>
      <c r="AE53" s="22"/>
      <c r="AF53" s="22"/>
      <c r="AG53" s="22"/>
      <c r="AH53" s="22"/>
      <c r="AI53" s="21"/>
      <c r="AJ53" s="21"/>
    </row>
    <row r="54" spans="1:36">
      <c r="B54" s="15"/>
      <c r="C54" s="44"/>
      <c r="D54" s="44"/>
      <c r="E54" s="45"/>
      <c r="F54" s="45"/>
      <c r="G54" s="45"/>
      <c r="H54" s="45"/>
      <c r="I54" s="44"/>
      <c r="J54" s="44"/>
      <c r="K54" s="44"/>
      <c r="L54" s="44"/>
      <c r="M54" s="44"/>
      <c r="N54" s="44"/>
      <c r="O54" s="44"/>
      <c r="P54" s="44"/>
      <c r="Q54" s="44"/>
      <c r="R54" s="44"/>
      <c r="S54" s="44"/>
      <c r="T54" s="44"/>
      <c r="U54" s="44"/>
      <c r="V54" s="44"/>
      <c r="W54" s="21"/>
      <c r="X54" s="22"/>
      <c r="Y54" s="22"/>
      <c r="Z54" s="22"/>
      <c r="AA54" s="22"/>
      <c r="AB54" s="21"/>
      <c r="AC54" s="21"/>
      <c r="AD54" s="21"/>
      <c r="AE54" s="22"/>
      <c r="AF54" s="22"/>
      <c r="AG54" s="22"/>
      <c r="AH54" s="22"/>
      <c r="AI54" s="21"/>
      <c r="AJ54" s="21"/>
    </row>
    <row r="55" spans="1:36">
      <c r="A55" s="47"/>
      <c r="C55" s="18"/>
      <c r="D55" s="18"/>
      <c r="E55" s="18"/>
      <c r="F55" s="23"/>
      <c r="G55" s="23"/>
      <c r="H55" s="23"/>
      <c r="I55" s="23"/>
      <c r="J55" s="23"/>
      <c r="N55" s="44"/>
      <c r="O55" s="44"/>
      <c r="P55" s="44"/>
      <c r="Q55" s="44"/>
      <c r="R55" s="44"/>
      <c r="S55" s="44"/>
      <c r="T55" s="44"/>
      <c r="U55" s="44"/>
      <c r="V55" s="44"/>
      <c r="W55" s="21"/>
      <c r="X55" s="22"/>
      <c r="Y55" s="22"/>
      <c r="Z55" s="22"/>
      <c r="AA55" s="22"/>
      <c r="AB55" s="21"/>
      <c r="AC55" s="21"/>
      <c r="AD55" s="21"/>
      <c r="AE55" s="22"/>
      <c r="AF55" s="22"/>
      <c r="AG55" s="22"/>
      <c r="AH55" s="22"/>
      <c r="AI55" s="21"/>
      <c r="AJ55" s="21"/>
    </row>
    <row r="56" spans="1:36">
      <c r="A56" s="47"/>
      <c r="C56" s="50"/>
      <c r="D56" s="50"/>
      <c r="E56" s="50"/>
      <c r="F56" s="24"/>
      <c r="G56" s="50"/>
      <c r="H56" s="50"/>
      <c r="I56" s="50"/>
      <c r="J56" s="50"/>
      <c r="N56" s="44"/>
      <c r="O56" s="44"/>
      <c r="P56" s="44"/>
      <c r="Q56" s="44"/>
      <c r="R56" s="44"/>
      <c r="S56" s="44"/>
      <c r="T56" s="44"/>
      <c r="U56" s="44"/>
      <c r="V56" s="44"/>
      <c r="W56" s="21"/>
      <c r="X56" s="22"/>
      <c r="Y56" s="22"/>
      <c r="Z56" s="22"/>
      <c r="AA56" s="22"/>
      <c r="AB56" s="21"/>
      <c r="AC56" s="21"/>
      <c r="AD56" s="21"/>
      <c r="AE56" s="22"/>
      <c r="AF56" s="22"/>
      <c r="AG56" s="22"/>
      <c r="AH56" s="22"/>
      <c r="AI56" s="21"/>
      <c r="AJ56" s="21"/>
    </row>
    <row r="57" spans="1:36">
      <c r="A57" s="47"/>
      <c r="C57" s="50"/>
      <c r="D57" s="50"/>
      <c r="E57" s="50"/>
      <c r="F57" s="24"/>
      <c r="G57" s="50"/>
      <c r="H57" s="50"/>
      <c r="I57" s="50"/>
      <c r="J57" s="50"/>
      <c r="N57" s="44"/>
      <c r="O57" s="44"/>
      <c r="P57" s="44"/>
      <c r="Q57" s="44"/>
      <c r="R57" s="44"/>
      <c r="S57" s="44"/>
      <c r="T57" s="44"/>
      <c r="U57" s="44"/>
      <c r="V57" s="44"/>
      <c r="W57" s="21"/>
      <c r="X57" s="22"/>
      <c r="Y57" s="22"/>
      <c r="Z57" s="22"/>
      <c r="AA57" s="22"/>
      <c r="AB57" s="21"/>
      <c r="AC57" s="21"/>
      <c r="AD57" s="21"/>
      <c r="AE57" s="22"/>
      <c r="AF57" s="22"/>
      <c r="AG57" s="22"/>
      <c r="AH57" s="22"/>
      <c r="AI57" s="21"/>
      <c r="AJ57" s="21"/>
    </row>
    <row r="58" spans="1:36">
      <c r="A58" s="47"/>
      <c r="B58" s="18"/>
      <c r="C58" s="17"/>
      <c r="D58" s="17"/>
      <c r="E58" s="19"/>
      <c r="F58" s="19"/>
      <c r="H58" s="25"/>
      <c r="J58" s="44"/>
      <c r="K58" s="44"/>
      <c r="L58" s="44"/>
      <c r="M58" s="44"/>
      <c r="N58" s="44"/>
      <c r="O58" s="44"/>
      <c r="P58" s="44"/>
      <c r="Q58" s="44"/>
      <c r="R58" s="44"/>
      <c r="S58" s="44"/>
      <c r="T58" s="44"/>
      <c r="U58" s="44"/>
      <c r="V58" s="44"/>
      <c r="W58" s="21"/>
      <c r="X58" s="22"/>
      <c r="Y58" s="22"/>
      <c r="Z58" s="22"/>
      <c r="AA58" s="22"/>
      <c r="AB58" s="21"/>
      <c r="AC58" s="21"/>
      <c r="AD58" s="21"/>
      <c r="AE58" s="22"/>
      <c r="AF58" s="22"/>
      <c r="AG58" s="22"/>
      <c r="AH58" s="22"/>
      <c r="AI58" s="21"/>
      <c r="AJ58" s="21"/>
    </row>
    <row r="59" spans="1:36">
      <c r="A59" s="47"/>
      <c r="B59" s="26"/>
      <c r="C59" s="26"/>
      <c r="D59" s="26"/>
      <c r="E59" s="26"/>
      <c r="F59" s="26"/>
      <c r="G59" s="26"/>
      <c r="H59" s="27"/>
      <c r="J59" s="44"/>
      <c r="K59" s="44"/>
      <c r="L59" s="44"/>
      <c r="M59" s="44"/>
      <c r="N59" s="44"/>
      <c r="O59" s="44"/>
      <c r="P59" s="44"/>
      <c r="Q59" s="44"/>
      <c r="R59" s="44"/>
      <c r="S59" s="44"/>
      <c r="T59" s="44"/>
      <c r="U59" s="44"/>
      <c r="V59" s="44"/>
      <c r="W59" s="21"/>
      <c r="X59" s="22"/>
      <c r="Y59" s="22"/>
      <c r="Z59" s="22"/>
      <c r="AA59" s="22"/>
      <c r="AB59" s="21"/>
      <c r="AC59" s="21"/>
      <c r="AD59" s="21"/>
      <c r="AE59" s="22"/>
      <c r="AF59" s="22"/>
      <c r="AG59" s="22"/>
      <c r="AH59" s="22"/>
      <c r="AI59" s="21"/>
      <c r="AJ59" s="21"/>
    </row>
    <row r="60" spans="1:36">
      <c r="A60" s="51"/>
      <c r="B60" s="15"/>
      <c r="C60" s="44"/>
      <c r="D60" s="44"/>
      <c r="E60" s="45"/>
      <c r="F60" s="45"/>
      <c r="G60" s="28"/>
      <c r="H60" s="29"/>
      <c r="J60" s="44"/>
      <c r="K60" s="44"/>
      <c r="L60" s="44"/>
      <c r="M60" s="44"/>
      <c r="N60" s="44"/>
      <c r="O60" s="44"/>
      <c r="P60" s="44"/>
      <c r="Q60" s="44"/>
      <c r="R60" s="44"/>
      <c r="S60" s="44"/>
      <c r="T60" s="44"/>
      <c r="U60" s="44"/>
      <c r="V60" s="44"/>
      <c r="W60" s="21"/>
      <c r="X60" s="22"/>
      <c r="Y60" s="22"/>
      <c r="Z60" s="22"/>
      <c r="AA60" s="22"/>
      <c r="AB60" s="21"/>
      <c r="AC60" s="21"/>
      <c r="AD60" s="21"/>
      <c r="AE60" s="22"/>
      <c r="AF60" s="22"/>
      <c r="AG60" s="22"/>
      <c r="AH60" s="22"/>
      <c r="AI60" s="21"/>
      <c r="AJ60" s="21"/>
    </row>
    <row r="61" spans="1:36">
      <c r="A61" s="51"/>
      <c r="B61" s="15"/>
      <c r="C61" s="44"/>
      <c r="D61" s="44"/>
      <c r="E61" s="45"/>
      <c r="F61" s="45"/>
      <c r="H61" s="45"/>
      <c r="I61" s="44"/>
      <c r="J61" s="44"/>
      <c r="K61" s="44"/>
      <c r="L61" s="44"/>
      <c r="M61" s="44"/>
      <c r="N61" s="44"/>
      <c r="O61" s="44"/>
      <c r="P61" s="44"/>
      <c r="Q61" s="44"/>
      <c r="R61" s="44"/>
      <c r="S61" s="44"/>
      <c r="T61" s="44"/>
      <c r="U61" s="44"/>
      <c r="V61" s="44"/>
      <c r="W61" s="21"/>
      <c r="X61" s="22"/>
      <c r="Y61" s="22"/>
      <c r="Z61" s="22"/>
      <c r="AA61" s="22"/>
      <c r="AB61" s="21"/>
      <c r="AC61" s="21"/>
      <c r="AD61" s="21"/>
      <c r="AE61" s="22"/>
      <c r="AF61" s="22"/>
      <c r="AG61" s="22"/>
      <c r="AH61" s="22"/>
      <c r="AI61" s="21"/>
      <c r="AJ61" s="21"/>
    </row>
    <row r="62" spans="1:36">
      <c r="A62" s="51"/>
      <c r="B62" s="15"/>
      <c r="C62" s="44"/>
      <c r="D62" s="44"/>
      <c r="E62" s="45"/>
      <c r="F62" s="45"/>
      <c r="G62" s="45"/>
      <c r="H62" s="45"/>
      <c r="I62" s="44"/>
      <c r="J62" s="44"/>
      <c r="K62" s="44"/>
      <c r="L62" s="44"/>
      <c r="M62" s="44"/>
      <c r="N62" s="44"/>
      <c r="O62" s="44"/>
      <c r="P62" s="44"/>
      <c r="Q62" s="44"/>
      <c r="R62" s="44"/>
      <c r="S62" s="44"/>
      <c r="T62" s="44"/>
      <c r="U62" s="44"/>
      <c r="V62" s="44"/>
      <c r="W62" s="21"/>
      <c r="X62" s="22"/>
      <c r="Y62" s="22"/>
      <c r="Z62" s="22"/>
      <c r="AA62" s="22"/>
      <c r="AB62" s="21"/>
      <c r="AC62" s="21"/>
      <c r="AD62" s="21"/>
      <c r="AE62" s="22"/>
      <c r="AF62" s="22"/>
      <c r="AG62" s="22"/>
      <c r="AH62" s="22"/>
      <c r="AI62" s="21"/>
      <c r="AJ62" s="21"/>
    </row>
    <row r="63" spans="1:36">
      <c r="A63" s="51"/>
      <c r="B63" s="15"/>
      <c r="C63" s="44"/>
      <c r="D63" s="44"/>
      <c r="E63" s="45"/>
      <c r="F63" s="45"/>
      <c r="G63" s="45"/>
      <c r="H63" s="45"/>
      <c r="I63" s="44"/>
      <c r="J63" s="44"/>
      <c r="K63" s="44"/>
      <c r="L63" s="44"/>
      <c r="M63" s="44"/>
      <c r="N63" s="44"/>
      <c r="O63" s="44"/>
      <c r="P63" s="44"/>
      <c r="Q63" s="44"/>
      <c r="R63" s="44"/>
      <c r="S63" s="44"/>
      <c r="T63" s="44"/>
      <c r="U63" s="44"/>
      <c r="V63" s="44"/>
      <c r="W63" s="21"/>
      <c r="X63" s="22"/>
      <c r="Y63" s="22"/>
      <c r="Z63" s="22"/>
      <c r="AA63" s="22"/>
      <c r="AB63" s="21"/>
      <c r="AC63" s="21"/>
      <c r="AD63" s="21"/>
      <c r="AE63" s="22"/>
      <c r="AF63" s="22"/>
      <c r="AG63" s="22"/>
      <c r="AH63" s="22"/>
      <c r="AI63" s="21"/>
      <c r="AJ63" s="21"/>
    </row>
    <row r="64" spans="1:36">
      <c r="A64" s="51"/>
      <c r="B64" s="15"/>
      <c r="C64" s="44"/>
      <c r="D64" s="44"/>
      <c r="E64" s="45"/>
      <c r="F64" s="45"/>
      <c r="G64" s="45"/>
      <c r="H64" s="45"/>
      <c r="I64" s="44"/>
      <c r="J64" s="44"/>
      <c r="K64" s="44"/>
      <c r="L64" s="44"/>
      <c r="M64" s="44"/>
      <c r="N64" s="44"/>
      <c r="O64" s="44"/>
      <c r="P64" s="44"/>
      <c r="Q64" s="44"/>
      <c r="R64" s="44"/>
      <c r="S64" s="44"/>
      <c r="T64" s="44"/>
      <c r="U64" s="44"/>
      <c r="V64" s="44"/>
      <c r="W64" s="21"/>
      <c r="X64" s="22"/>
      <c r="Y64" s="22"/>
      <c r="Z64" s="22"/>
      <c r="AA64" s="22"/>
      <c r="AB64" s="21"/>
      <c r="AC64" s="21"/>
      <c r="AD64" s="21"/>
      <c r="AE64" s="22"/>
      <c r="AF64" s="22"/>
      <c r="AG64" s="22"/>
      <c r="AH64" s="22"/>
      <c r="AI64" s="21"/>
      <c r="AJ64" s="21"/>
    </row>
    <row r="65" spans="1:36">
      <c r="A65" s="51"/>
      <c r="B65" s="53"/>
      <c r="C65" s="50"/>
      <c r="D65" s="50"/>
      <c r="E65" s="50"/>
      <c r="F65" s="50"/>
      <c r="G65" s="45"/>
      <c r="H65" s="45"/>
      <c r="I65" s="44"/>
      <c r="J65" s="44"/>
      <c r="K65" s="44"/>
      <c r="L65" s="44"/>
      <c r="M65" s="44"/>
      <c r="N65" s="44"/>
      <c r="O65" s="44"/>
      <c r="P65" s="44"/>
      <c r="Q65" s="44"/>
      <c r="R65" s="44"/>
      <c r="S65" s="44"/>
      <c r="T65" s="44"/>
      <c r="U65" s="44"/>
      <c r="V65" s="44"/>
      <c r="W65" s="21"/>
      <c r="X65" s="22"/>
      <c r="Y65" s="22"/>
      <c r="Z65" s="22"/>
      <c r="AA65" s="22"/>
      <c r="AB65" s="21"/>
      <c r="AC65" s="21"/>
      <c r="AD65" s="21"/>
      <c r="AE65" s="22"/>
      <c r="AF65" s="22"/>
      <c r="AG65" s="22"/>
      <c r="AH65" s="22"/>
      <c r="AI65" s="21"/>
      <c r="AJ65" s="21"/>
    </row>
    <row r="66" spans="1:36">
      <c r="B66" s="15"/>
      <c r="C66" s="44"/>
      <c r="D66" s="44"/>
      <c r="E66" s="45"/>
      <c r="F66" s="45"/>
      <c r="G66" s="45"/>
      <c r="H66" s="45"/>
      <c r="I66" s="44"/>
      <c r="J66" s="44"/>
      <c r="K66" s="44"/>
      <c r="L66" s="44"/>
      <c r="M66" s="44"/>
      <c r="N66" s="44"/>
      <c r="O66" s="44"/>
      <c r="P66" s="44"/>
      <c r="Q66" s="44"/>
      <c r="R66" s="44"/>
      <c r="S66" s="44"/>
      <c r="T66" s="44"/>
      <c r="U66" s="44"/>
      <c r="V66" s="44"/>
      <c r="W66" s="21"/>
      <c r="X66" s="22"/>
      <c r="Y66" s="22"/>
      <c r="Z66" s="22"/>
      <c r="AA66" s="22"/>
      <c r="AB66" s="21"/>
      <c r="AC66" s="21"/>
      <c r="AD66" s="21"/>
      <c r="AE66" s="22"/>
      <c r="AF66" s="22"/>
      <c r="AG66" s="22"/>
      <c r="AH66" s="22"/>
      <c r="AI66" s="21"/>
      <c r="AJ66" s="21"/>
    </row>
    <row r="67" spans="1:36" ht="12.75">
      <c r="A67" s="47"/>
      <c r="B67" s="15"/>
      <c r="C67" s="44"/>
      <c r="D67" s="38"/>
      <c r="E67" s="45"/>
      <c r="F67" s="45"/>
      <c r="G67" s="45"/>
      <c r="H67" s="45"/>
      <c r="I67" s="54"/>
      <c r="J67" s="54"/>
      <c r="K67" s="54"/>
      <c r="L67" s="54"/>
      <c r="M67" s="54"/>
      <c r="N67" s="54"/>
      <c r="O67" s="54"/>
      <c r="P67" s="44"/>
      <c r="Q67" s="44"/>
      <c r="R67" s="44"/>
      <c r="S67" s="44"/>
      <c r="T67" s="44"/>
      <c r="U67" s="44"/>
      <c r="V67" s="44"/>
    </row>
    <row r="68" spans="1:36" ht="12.75">
      <c r="A68" s="55"/>
      <c r="B68" s="56"/>
      <c r="C68" s="57"/>
      <c r="D68" s="38"/>
      <c r="E68" s="38"/>
      <c r="F68" s="38"/>
      <c r="G68" s="38"/>
      <c r="H68" s="38"/>
      <c r="I68" s="38"/>
      <c r="J68" s="38"/>
      <c r="K68" s="38"/>
      <c r="L68" s="38"/>
      <c r="M68" s="38"/>
      <c r="N68" s="38"/>
      <c r="O68" s="38"/>
    </row>
    <row r="69" spans="1:36" ht="12.75">
      <c r="A69" s="58"/>
      <c r="B69" s="59"/>
      <c r="C69" s="57"/>
      <c r="D69" s="38"/>
      <c r="L69" s="39"/>
      <c r="M69" s="39"/>
      <c r="N69" s="39"/>
      <c r="O69" s="39"/>
      <c r="P69" s="40"/>
    </row>
    <row r="70" spans="1:36" ht="12.75">
      <c r="A70" s="60"/>
      <c r="B70" s="60"/>
      <c r="C70" s="57"/>
      <c r="E70" s="38"/>
      <c r="F70" s="38"/>
      <c r="G70" s="38"/>
      <c r="I70" s="38"/>
      <c r="J70" s="38"/>
      <c r="K70" s="38"/>
      <c r="L70" s="38"/>
      <c r="M70" s="38"/>
      <c r="N70" s="38"/>
      <c r="O70" s="38"/>
      <c r="P70" s="38"/>
      <c r="R70" s="38"/>
    </row>
    <row r="71" spans="1:36">
      <c r="A71" s="58"/>
      <c r="B71" s="58"/>
      <c r="C71" s="57"/>
      <c r="Q71" s="18"/>
      <c r="R71" s="47"/>
    </row>
    <row r="72" spans="1:36">
      <c r="A72" s="58"/>
      <c r="B72" s="58"/>
      <c r="C72" s="57"/>
      <c r="Q72" s="61"/>
      <c r="R72" s="50"/>
    </row>
    <row r="73" spans="1:36">
      <c r="A73" s="58"/>
      <c r="B73" s="58"/>
      <c r="C73" s="57"/>
      <c r="Q73" s="61"/>
      <c r="R73" s="44"/>
      <c r="S73" s="44"/>
      <c r="T73" s="44"/>
      <c r="U73" s="44"/>
      <c r="V73" s="44"/>
    </row>
    <row r="74" spans="1:36">
      <c r="A74" s="62"/>
      <c r="B74" s="62"/>
      <c r="C74" s="57"/>
      <c r="Q74" s="61"/>
      <c r="R74" s="44"/>
      <c r="S74" s="44"/>
      <c r="T74" s="44"/>
      <c r="U74" s="44"/>
      <c r="V74" s="44"/>
    </row>
    <row r="75" spans="1:36">
      <c r="A75" s="58"/>
      <c r="B75" s="63"/>
      <c r="C75" s="57"/>
      <c r="D75" s="44"/>
      <c r="G75" s="53"/>
      <c r="I75" s="50"/>
      <c r="J75" s="50"/>
      <c r="K75" s="50"/>
      <c r="L75" s="24"/>
      <c r="M75" s="50"/>
      <c r="N75" s="50"/>
      <c r="O75" s="50"/>
      <c r="P75" s="50"/>
      <c r="Q75" s="61"/>
      <c r="R75" s="44"/>
      <c r="S75" s="44"/>
      <c r="T75" s="44"/>
      <c r="U75" s="44"/>
      <c r="V75" s="44"/>
    </row>
    <row r="76" spans="1:36">
      <c r="A76" s="58"/>
      <c r="B76" s="58"/>
      <c r="C76" s="57"/>
      <c r="G76" s="53"/>
      <c r="I76" s="50"/>
      <c r="J76" s="50"/>
      <c r="K76" s="50"/>
      <c r="L76" s="24"/>
      <c r="M76" s="50"/>
      <c r="N76" s="50"/>
      <c r="O76" s="50"/>
      <c r="P76" s="50"/>
      <c r="Q76" s="61"/>
      <c r="R76" s="44"/>
      <c r="S76" s="44"/>
      <c r="T76" s="44"/>
      <c r="U76" s="44"/>
      <c r="V76" s="44"/>
    </row>
    <row r="77" spans="1:36">
      <c r="A77" s="58"/>
      <c r="B77" s="58"/>
      <c r="C77" s="57"/>
      <c r="Q77" s="44"/>
      <c r="R77" s="44"/>
      <c r="S77" s="44"/>
      <c r="T77" s="44"/>
      <c r="U77" s="44"/>
      <c r="V77" s="44"/>
    </row>
    <row r="78" spans="1:36" ht="12.75">
      <c r="A78" s="62"/>
      <c r="B78" s="62"/>
      <c r="C78" s="57"/>
      <c r="D78" s="38"/>
      <c r="E78" s="38"/>
      <c r="F78" s="38"/>
      <c r="G78" s="38"/>
      <c r="H78" s="38"/>
      <c r="I78" s="38"/>
      <c r="J78" s="38"/>
      <c r="K78" s="38"/>
      <c r="L78" s="38"/>
      <c r="M78" s="38"/>
      <c r="N78" s="38"/>
      <c r="O78" s="38"/>
      <c r="P78" s="38"/>
      <c r="Q78" s="44"/>
      <c r="R78" s="44"/>
      <c r="S78" s="44"/>
      <c r="T78" s="44"/>
      <c r="U78" s="44"/>
      <c r="V78" s="44"/>
    </row>
    <row r="79" spans="1:36" ht="12.75">
      <c r="A79" s="58"/>
      <c r="B79" s="58"/>
      <c r="C79" s="57"/>
      <c r="D79" s="38"/>
      <c r="E79" s="38"/>
      <c r="F79" s="38"/>
      <c r="G79" s="38"/>
      <c r="H79" s="38"/>
      <c r="I79" s="38"/>
      <c r="J79" s="38"/>
      <c r="K79" s="38"/>
      <c r="L79" s="38"/>
      <c r="M79" s="38"/>
      <c r="N79" s="38"/>
      <c r="O79" s="38"/>
      <c r="P79" s="38"/>
      <c r="Q79" s="38"/>
      <c r="R79" s="44"/>
      <c r="S79" s="44"/>
      <c r="T79" s="44"/>
      <c r="U79" s="44"/>
      <c r="V79" s="44"/>
    </row>
    <row r="80" spans="1:36" ht="12.75">
      <c r="A80" s="58"/>
      <c r="B80" s="58"/>
      <c r="C80" s="57"/>
      <c r="D80" s="38"/>
      <c r="E80" s="38"/>
      <c r="F80" s="38"/>
      <c r="G80" s="53"/>
      <c r="H80" s="45"/>
      <c r="I80" s="50"/>
      <c r="J80" s="50"/>
      <c r="K80" s="50"/>
      <c r="L80" s="24"/>
      <c r="M80" s="50"/>
      <c r="N80" s="50"/>
      <c r="O80" s="50"/>
      <c r="P80" s="50"/>
      <c r="Q80" s="38"/>
      <c r="R80" s="44"/>
      <c r="S80" s="44"/>
      <c r="T80" s="44"/>
      <c r="U80" s="44"/>
      <c r="V80" s="44"/>
    </row>
    <row r="81" spans="1:22" ht="12.75">
      <c r="A81" s="58"/>
      <c r="B81" s="58"/>
      <c r="C81" s="57"/>
      <c r="D81" s="38"/>
      <c r="E81" s="38"/>
      <c r="F81" s="38"/>
      <c r="G81" s="53"/>
      <c r="H81" s="45"/>
      <c r="I81" s="50"/>
      <c r="J81" s="50"/>
      <c r="K81" s="50"/>
      <c r="L81" s="24"/>
      <c r="M81" s="50"/>
      <c r="N81" s="50"/>
      <c r="O81" s="50"/>
      <c r="P81" s="50"/>
      <c r="Q81" s="38"/>
      <c r="R81" s="44"/>
      <c r="S81" s="44"/>
      <c r="T81" s="44"/>
      <c r="U81" s="44"/>
      <c r="V81" s="44"/>
    </row>
    <row r="82" spans="1:22" ht="12.75">
      <c r="A82" s="58"/>
      <c r="B82" s="58"/>
      <c r="C82" s="57"/>
      <c r="D82" s="44"/>
      <c r="E82" s="45"/>
      <c r="F82" s="45"/>
      <c r="G82" s="53"/>
      <c r="I82" s="50"/>
      <c r="J82" s="50"/>
      <c r="K82" s="50"/>
      <c r="L82" s="24"/>
      <c r="M82" s="50"/>
      <c r="N82" s="50"/>
      <c r="O82" s="50"/>
      <c r="P82" s="50"/>
      <c r="Q82" s="38"/>
      <c r="R82" s="44"/>
      <c r="S82" s="44"/>
      <c r="T82" s="44"/>
      <c r="U82" s="44"/>
      <c r="V82" s="44"/>
    </row>
    <row r="83" spans="1:22" ht="12.75">
      <c r="A83" s="64"/>
      <c r="B83" s="65"/>
      <c r="C83" s="44"/>
      <c r="D83" s="44"/>
      <c r="E83" s="45"/>
      <c r="F83" s="45"/>
      <c r="G83" s="53"/>
      <c r="I83" s="50"/>
      <c r="J83" s="50"/>
      <c r="K83" s="50"/>
      <c r="L83" s="24"/>
      <c r="M83" s="50"/>
      <c r="N83" s="50"/>
      <c r="O83" s="50"/>
      <c r="P83" s="50"/>
      <c r="Q83" s="38"/>
      <c r="R83" s="44"/>
      <c r="S83" s="44"/>
      <c r="T83" s="44"/>
      <c r="U83" s="44"/>
      <c r="V83" s="44"/>
    </row>
    <row r="84" spans="1:22">
      <c r="A84" s="64"/>
      <c r="B84" s="65"/>
      <c r="C84" s="44"/>
      <c r="D84" s="44"/>
      <c r="E84" s="45"/>
      <c r="F84" s="45"/>
      <c r="G84" s="45"/>
      <c r="H84" s="45"/>
      <c r="I84" s="44"/>
      <c r="J84" s="44"/>
      <c r="K84" s="44"/>
      <c r="L84" s="44"/>
      <c r="M84" s="44"/>
      <c r="N84" s="44"/>
      <c r="O84" s="44"/>
      <c r="P84" s="44"/>
      <c r="Q84" s="44"/>
      <c r="R84" s="44"/>
      <c r="S84" s="44"/>
      <c r="T84" s="44"/>
      <c r="U84" s="44"/>
      <c r="V84" s="44"/>
    </row>
    <row r="85" spans="1:22">
      <c r="A85" s="64"/>
      <c r="B85" s="65"/>
      <c r="C85" s="44"/>
      <c r="D85" s="44"/>
      <c r="E85" s="45"/>
      <c r="F85" s="45"/>
      <c r="G85" s="45"/>
      <c r="H85" s="45"/>
      <c r="I85" s="44"/>
      <c r="J85" s="44"/>
      <c r="K85" s="44"/>
      <c r="L85" s="44"/>
      <c r="M85" s="44"/>
      <c r="N85" s="44"/>
      <c r="O85" s="44"/>
      <c r="P85" s="44"/>
      <c r="Q85" s="44"/>
      <c r="R85" s="44"/>
      <c r="S85" s="44"/>
      <c r="T85" s="44"/>
      <c r="U85" s="44"/>
      <c r="V85" s="44"/>
    </row>
    <row r="86" spans="1:22">
      <c r="A86" s="64"/>
      <c r="B86" s="66"/>
      <c r="C86" s="44"/>
      <c r="D86" s="44"/>
      <c r="E86" s="45"/>
      <c r="F86" s="45"/>
      <c r="G86" s="45"/>
      <c r="H86" s="45"/>
      <c r="I86" s="44"/>
      <c r="J86" s="44"/>
      <c r="K86" s="44"/>
      <c r="L86" s="44"/>
      <c r="M86" s="44"/>
      <c r="N86" s="44"/>
      <c r="O86" s="44"/>
      <c r="P86" s="44"/>
      <c r="Q86" s="44"/>
      <c r="R86" s="44"/>
      <c r="S86" s="44"/>
      <c r="T86" s="44"/>
      <c r="U86" s="44"/>
      <c r="V86" s="44"/>
    </row>
    <row r="87" spans="1:22">
      <c r="A87" s="64"/>
      <c r="B87" s="65"/>
      <c r="C87" s="44"/>
      <c r="D87" s="44"/>
      <c r="E87" s="45"/>
      <c r="F87" s="45"/>
      <c r="G87" s="45"/>
      <c r="H87" s="45"/>
      <c r="I87" s="44"/>
      <c r="J87" s="44"/>
      <c r="K87" s="44"/>
      <c r="L87" s="44"/>
      <c r="M87" s="44"/>
      <c r="N87" s="44"/>
      <c r="O87" s="44"/>
      <c r="P87" s="44"/>
      <c r="Q87" s="44"/>
      <c r="R87" s="44"/>
      <c r="S87" s="44"/>
      <c r="T87" s="44"/>
      <c r="U87" s="44"/>
      <c r="V87" s="44"/>
    </row>
    <row r="88" spans="1:22">
      <c r="B88" s="15"/>
      <c r="C88" s="44"/>
      <c r="D88" s="44"/>
      <c r="E88" s="45"/>
      <c r="F88" s="45"/>
      <c r="G88" s="45"/>
      <c r="H88" s="45"/>
      <c r="I88" s="44"/>
      <c r="J88" s="44"/>
      <c r="K88" s="44"/>
      <c r="L88" s="44"/>
      <c r="M88" s="44"/>
      <c r="N88" s="44"/>
      <c r="O88" s="44"/>
      <c r="P88" s="44"/>
      <c r="Q88" s="44"/>
      <c r="R88" s="44"/>
      <c r="S88" s="44"/>
      <c r="T88" s="44"/>
      <c r="U88" s="44"/>
      <c r="V88" s="44"/>
    </row>
    <row r="89" spans="1:22">
      <c r="G89" s="45"/>
      <c r="H89" s="45"/>
      <c r="I89" s="44"/>
      <c r="J89" s="44"/>
      <c r="K89" s="44"/>
      <c r="L89" s="44"/>
      <c r="M89" s="44"/>
      <c r="N89" s="44"/>
      <c r="O89" s="44"/>
      <c r="P89" s="44"/>
      <c r="Q89" s="44"/>
      <c r="R89" s="44"/>
      <c r="S89" s="44"/>
      <c r="T89" s="44"/>
      <c r="U89" s="44"/>
      <c r="V89" s="44"/>
    </row>
    <row r="90" spans="1:22">
      <c r="G90" s="45"/>
      <c r="H90" s="45"/>
      <c r="I90" s="44"/>
      <c r="J90" s="44"/>
      <c r="K90" s="44"/>
      <c r="L90" s="44"/>
      <c r="M90" s="44"/>
      <c r="N90" s="44"/>
      <c r="O90" s="44"/>
      <c r="P90" s="44"/>
      <c r="Q90" s="44"/>
      <c r="R90" s="44"/>
      <c r="S90" s="44"/>
      <c r="T90" s="44"/>
      <c r="U90" s="44"/>
      <c r="V90" s="44"/>
    </row>
    <row r="91" spans="1:22">
      <c r="G91" s="45"/>
      <c r="H91" s="45"/>
      <c r="I91" s="44"/>
      <c r="J91" s="44"/>
      <c r="K91" s="44"/>
      <c r="L91" s="44"/>
      <c r="M91" s="44"/>
      <c r="N91" s="44"/>
      <c r="O91" s="44"/>
      <c r="P91" s="44"/>
      <c r="Q91" s="44"/>
      <c r="R91" s="44"/>
      <c r="S91" s="44"/>
      <c r="T91" s="44"/>
      <c r="U91" s="44"/>
      <c r="V91" s="44"/>
    </row>
    <row r="92" spans="1:22">
      <c r="G92" s="45"/>
      <c r="H92" s="45"/>
      <c r="I92" s="44"/>
      <c r="J92" s="44"/>
      <c r="K92" s="44"/>
      <c r="L92" s="44"/>
      <c r="M92" s="44"/>
      <c r="N92" s="44"/>
      <c r="O92" s="44"/>
      <c r="P92" s="44"/>
      <c r="Q92" s="44"/>
      <c r="R92" s="44"/>
      <c r="S92" s="44"/>
      <c r="T92" s="44"/>
      <c r="U92" s="44"/>
      <c r="V92" s="44"/>
    </row>
    <row r="93" spans="1:22">
      <c r="G93" s="45"/>
      <c r="H93" s="45"/>
      <c r="I93" s="44"/>
      <c r="J93" s="44"/>
      <c r="K93" s="44"/>
      <c r="L93" s="44"/>
      <c r="M93" s="44"/>
      <c r="N93" s="44"/>
      <c r="O93" s="44"/>
      <c r="P93" s="44"/>
      <c r="Q93" s="44"/>
      <c r="R93" s="44"/>
      <c r="S93" s="44"/>
      <c r="T93" s="44"/>
      <c r="U93" s="44"/>
      <c r="V93" s="44"/>
    </row>
    <row r="94" spans="1:22">
      <c r="G94" s="45"/>
      <c r="H94" s="45"/>
      <c r="I94" s="44"/>
      <c r="J94" s="44"/>
      <c r="K94" s="44"/>
      <c r="L94" s="44"/>
      <c r="M94" s="44"/>
      <c r="N94" s="44"/>
      <c r="O94" s="44"/>
      <c r="P94" s="44"/>
      <c r="Q94" s="44"/>
      <c r="R94" s="44"/>
      <c r="S94" s="44"/>
      <c r="T94" s="44"/>
      <c r="U94" s="44"/>
      <c r="V94" s="44"/>
    </row>
    <row r="95" spans="1:22">
      <c r="G95" s="45"/>
      <c r="H95" s="45"/>
      <c r="I95" s="44"/>
      <c r="J95" s="44"/>
      <c r="K95" s="44"/>
      <c r="L95" s="44"/>
      <c r="M95" s="44"/>
      <c r="N95" s="44"/>
      <c r="O95" s="44"/>
      <c r="P95" s="44"/>
      <c r="Q95" s="44"/>
      <c r="R95" s="44"/>
      <c r="S95" s="44"/>
      <c r="T95" s="44"/>
      <c r="U95" s="44"/>
      <c r="V95" s="44"/>
    </row>
    <row r="96" spans="1:22">
      <c r="G96" s="45"/>
      <c r="H96" s="45"/>
      <c r="I96" s="44"/>
      <c r="J96" s="44"/>
      <c r="K96" s="44"/>
      <c r="L96" s="44"/>
      <c r="M96" s="44"/>
      <c r="N96" s="44"/>
      <c r="O96" s="44"/>
      <c r="P96" s="44"/>
      <c r="Q96" s="44"/>
      <c r="R96" s="44"/>
      <c r="S96" s="44"/>
      <c r="T96" s="44"/>
      <c r="U96" s="44"/>
      <c r="V96" s="44"/>
    </row>
    <row r="97" spans="7:29">
      <c r="G97" s="50"/>
      <c r="H97" s="50"/>
      <c r="I97" s="50"/>
      <c r="J97" s="50"/>
      <c r="K97" s="50"/>
      <c r="L97" s="50"/>
      <c r="M97" s="50"/>
      <c r="N97" s="50"/>
      <c r="O97" s="50"/>
      <c r="P97" s="50"/>
      <c r="Q97" s="50"/>
      <c r="R97" s="50"/>
      <c r="S97" s="50"/>
      <c r="T97" s="50"/>
      <c r="U97" s="50"/>
      <c r="V97" s="50"/>
      <c r="W97" s="50"/>
      <c r="X97" s="50"/>
      <c r="Y97" s="50"/>
      <c r="Z97" s="50"/>
      <c r="AA97" s="50"/>
      <c r="AB97" s="50"/>
      <c r="AC97" s="50"/>
    </row>
    <row r="113" s="31" customFormat="1"/>
    <row r="114" s="31" customFormat="1"/>
    <row r="115" s="31" customFormat="1"/>
    <row r="116" s="31" customFormat="1"/>
    <row r="117" s="31" customFormat="1"/>
    <row r="118" s="31" customFormat="1"/>
    <row r="119" s="31" customFormat="1"/>
    <row r="120" s="31" customFormat="1"/>
  </sheetData>
  <dataConsolidate/>
  <mergeCells count="18">
    <mergeCell ref="E8:K8"/>
    <mergeCell ref="D3:K3"/>
    <mergeCell ref="A3:C3"/>
    <mergeCell ref="D14:T14"/>
    <mergeCell ref="E7:K7"/>
    <mergeCell ref="E6:K6"/>
    <mergeCell ref="B6:C6"/>
    <mergeCell ref="B7:C7"/>
    <mergeCell ref="A15:C15"/>
    <mergeCell ref="A13:C13"/>
    <mergeCell ref="A14:C14"/>
    <mergeCell ref="A12:C12"/>
    <mergeCell ref="B8:C8"/>
    <mergeCell ref="D1:F2"/>
    <mergeCell ref="E4:K4"/>
    <mergeCell ref="E5:K5"/>
    <mergeCell ref="G1:K2"/>
    <mergeCell ref="B5:C5"/>
  </mergeCells>
  <phoneticPr fontId="8" type="noConversion"/>
  <printOptions gridLinesSet="0"/>
  <pageMargins left="0.98425196850393704" right="0" top="1.1811023622047245" bottom="0.78740157480314965" header="0.51181102362204722" footer="0.51181102362204722"/>
  <pageSetup paperSize="9" scale="68" orientation="landscape" horizontalDpi="1200" verticalDpi="1200" r:id="rId1"/>
  <headerFooter alignWithMargins="0">
    <oddHeader>&amp;F</oddHeader>
    <oddFooter>Pagina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2"/>
  <dimension ref="A4:AJ103"/>
  <sheetViews>
    <sheetView showOutlineSymbols="0" topLeftCell="A28" workbookViewId="0">
      <selection activeCell="B73" sqref="B73"/>
    </sheetView>
  </sheetViews>
  <sheetFormatPr defaultColWidth="9.140625" defaultRowHeight="11.25"/>
  <cols>
    <col min="1" max="1" width="12.7109375" style="102" customWidth="1"/>
    <col min="2" max="2" width="10" style="102" bestFit="1" customWidth="1"/>
    <col min="3" max="3" width="8.7109375" style="102" bestFit="1" customWidth="1"/>
    <col min="4" max="4" width="9.42578125" style="102" bestFit="1" customWidth="1"/>
    <col min="5" max="5" width="7.42578125" style="102" customWidth="1"/>
    <col min="6" max="6" width="7.28515625" style="102" customWidth="1"/>
    <col min="7" max="7" width="7.7109375" style="102" customWidth="1"/>
    <col min="8" max="8" width="6.140625" style="102" customWidth="1"/>
    <col min="9" max="11" width="4.85546875" style="102" customWidth="1"/>
    <col min="12" max="12" width="5.140625" style="102" bestFit="1" customWidth="1"/>
    <col min="13" max="14" width="4.5703125" style="102" bestFit="1" customWidth="1"/>
    <col min="15" max="15" width="5.85546875" style="102" bestFit="1" customWidth="1"/>
    <col min="16" max="16" width="4.5703125" style="102" bestFit="1" customWidth="1"/>
    <col min="17" max="17" width="4.85546875" style="102" customWidth="1"/>
    <col min="18" max="20" width="4.5703125" style="102" bestFit="1" customWidth="1"/>
    <col min="21" max="21" width="7" style="102" bestFit="1" customWidth="1"/>
    <col min="22" max="16384" width="9.140625" style="102"/>
  </cols>
  <sheetData>
    <row r="4" spans="1:22">
      <c r="A4" s="379" t="s">
        <v>257</v>
      </c>
      <c r="B4" s="379" t="e">
        <f>MATCH('DATI UTENTE'!D22,Delibere!M21:M34)</f>
        <v>#N/A</v>
      </c>
    </row>
    <row r="5" spans="1:22">
      <c r="A5" s="102" t="s">
        <v>51</v>
      </c>
      <c r="C5" s="103">
        <f>SUM(D5:T5)</f>
        <v>0</v>
      </c>
      <c r="D5" s="103">
        <f>Tariffa_old!D17</f>
        <v>0</v>
      </c>
      <c r="E5" s="103">
        <f>Tariffa_old!E17</f>
        <v>0</v>
      </c>
      <c r="F5" s="103">
        <f>Tariffa_old!F17</f>
        <v>0</v>
      </c>
      <c r="G5" s="103">
        <f>Tariffa_old!G17</f>
        <v>0</v>
      </c>
      <c r="H5" s="103">
        <f>Tariffa_old!H17</f>
        <v>0</v>
      </c>
      <c r="I5" s="103">
        <f>Tariffa_old!I17</f>
        <v>0</v>
      </c>
      <c r="J5" s="103">
        <f>Tariffa_old!J17</f>
        <v>0</v>
      </c>
      <c r="K5" s="103">
        <f>Tariffa_old!K17</f>
        <v>0</v>
      </c>
      <c r="L5" s="103">
        <f>Tariffa_old!L17</f>
        <v>0</v>
      </c>
      <c r="M5" s="103">
        <f>Tariffa_old!M17</f>
        <v>0</v>
      </c>
      <c r="N5" s="103">
        <f>Tariffa_old!N17</f>
        <v>0</v>
      </c>
      <c r="O5" s="103">
        <f>Tariffa_old!O17</f>
        <v>0</v>
      </c>
      <c r="P5" s="103">
        <f>Tariffa_old!P17</f>
        <v>0</v>
      </c>
      <c r="Q5" s="103">
        <f>Tariffa_old!Q17</f>
        <v>0</v>
      </c>
      <c r="R5" s="103">
        <f>Tariffa_old!R17</f>
        <v>0</v>
      </c>
      <c r="S5" s="103">
        <f>Tariffa_old!S17</f>
        <v>0</v>
      </c>
      <c r="T5" s="103">
        <f>Tariffa_old!T17</f>
        <v>0</v>
      </c>
    </row>
    <row r="6" spans="1:22">
      <c r="A6" s="102" t="s">
        <v>28</v>
      </c>
      <c r="B6" s="104"/>
      <c r="C6" s="105" t="s">
        <v>52</v>
      </c>
      <c r="D6" s="105"/>
      <c r="F6" s="106"/>
      <c r="G6" s="106"/>
    </row>
    <row r="7" spans="1:22">
      <c r="A7" s="107" t="s">
        <v>6</v>
      </c>
      <c r="B7" s="108" t="s">
        <v>20</v>
      </c>
      <c r="C7" s="109">
        <f>IF(mc&gt;0,SUM(D7:T7)/$C$5*1000,0)</f>
        <v>0</v>
      </c>
      <c r="D7" s="110">
        <f>Tariffa_old!D$17*Tariffa_old!D18/1000</f>
        <v>0</v>
      </c>
      <c r="E7" s="110">
        <f>Tariffa_old!E$17*Tariffa_old!E18/1000</f>
        <v>0</v>
      </c>
      <c r="F7" s="110">
        <f>Tariffa_old!F$17*Tariffa_old!F18/1000</f>
        <v>0</v>
      </c>
      <c r="G7" s="110">
        <f>Tariffa_old!G$17*Tariffa_old!G18/1000</f>
        <v>0</v>
      </c>
      <c r="H7" s="110">
        <f>Tariffa_old!H$17*Tariffa_old!H18/1000</f>
        <v>0</v>
      </c>
      <c r="I7" s="110">
        <f>Tariffa_old!I$17*Tariffa_old!I18/1000</f>
        <v>0</v>
      </c>
      <c r="J7" s="110">
        <f>Tariffa_old!J$17*Tariffa_old!J18/1000</f>
        <v>0</v>
      </c>
      <c r="K7" s="110">
        <f>Tariffa_old!K$17*Tariffa_old!K18/1000</f>
        <v>0</v>
      </c>
      <c r="L7" s="110">
        <f>Tariffa_old!L$17*Tariffa_old!L18/1000</f>
        <v>0</v>
      </c>
      <c r="M7" s="110">
        <f>Tariffa_old!M$17*Tariffa_old!M18/1000</f>
        <v>0</v>
      </c>
      <c r="N7" s="110">
        <f>Tariffa_old!N$17*Tariffa_old!N18/1000</f>
        <v>0</v>
      </c>
      <c r="O7" s="110">
        <f>Tariffa_old!O$17*Tariffa_old!O18/1000</f>
        <v>0</v>
      </c>
      <c r="P7" s="110">
        <f>Tariffa_old!P$17*Tariffa_old!P18/1000</f>
        <v>0</v>
      </c>
      <c r="Q7" s="110">
        <f>Tariffa_old!Q$17*Tariffa_old!Q18/1000</f>
        <v>0</v>
      </c>
      <c r="R7" s="110">
        <f>Tariffa_old!R$17*Tariffa_old!R18/1000</f>
        <v>0</v>
      </c>
      <c r="S7" s="110">
        <f>Tariffa_old!S$17*Tariffa_old!S18/1000</f>
        <v>0</v>
      </c>
      <c r="T7" s="110">
        <f>Tariffa_old!T$17*Tariffa_old!T18/1000</f>
        <v>0</v>
      </c>
      <c r="U7" s="111">
        <f>SUM(D7:T7)</f>
        <v>0</v>
      </c>
    </row>
    <row r="8" spans="1:22">
      <c r="A8" s="112" t="s">
        <v>8</v>
      </c>
      <c r="B8" s="113" t="s">
        <v>20</v>
      </c>
      <c r="C8" s="109">
        <f>IF(mc&gt;0,SUM(D8:T8)/$C$5*1000,0)</f>
        <v>0</v>
      </c>
      <c r="D8" s="110">
        <f>Tariffa_old!D$17*Tariffa_old!D19/1000</f>
        <v>0</v>
      </c>
      <c r="E8" s="110">
        <f>Tariffa_old!E$17*Tariffa_old!E19/1000</f>
        <v>0</v>
      </c>
      <c r="F8" s="110">
        <f>Tariffa_old!F$17*Tariffa_old!F19/1000</f>
        <v>0</v>
      </c>
      <c r="G8" s="110">
        <f>Tariffa_old!G$17*Tariffa_old!G19/1000</f>
        <v>0</v>
      </c>
      <c r="H8" s="110">
        <f>Tariffa_old!H$17*Tariffa_old!H19/1000</f>
        <v>0</v>
      </c>
      <c r="I8" s="110">
        <f>Tariffa_old!I$17*Tariffa_old!I19/1000</f>
        <v>0</v>
      </c>
      <c r="J8" s="110">
        <f>Tariffa_old!J$17*Tariffa_old!J19/1000</f>
        <v>0</v>
      </c>
      <c r="K8" s="110">
        <f>Tariffa_old!K$17*Tariffa_old!K19/1000</f>
        <v>0</v>
      </c>
      <c r="L8" s="110">
        <f>Tariffa_old!L$17*Tariffa_old!L19/1000</f>
        <v>0</v>
      </c>
      <c r="M8" s="110">
        <f>Tariffa_old!M$17*Tariffa_old!M19/1000</f>
        <v>0</v>
      </c>
      <c r="N8" s="110">
        <f>Tariffa_old!N$17*Tariffa_old!N19/1000</f>
        <v>0</v>
      </c>
      <c r="O8" s="110">
        <f>Tariffa_old!O$17*Tariffa_old!O19/1000</f>
        <v>0</v>
      </c>
      <c r="P8" s="110">
        <f>Tariffa_old!P$17*Tariffa_old!P19/1000</f>
        <v>0</v>
      </c>
      <c r="Q8" s="110">
        <f>Tariffa_old!Q$17*Tariffa_old!Q19/1000</f>
        <v>0</v>
      </c>
      <c r="R8" s="110">
        <f>Tariffa_old!R$17*Tariffa_old!R19/1000</f>
        <v>0</v>
      </c>
      <c r="S8" s="110">
        <f>Tariffa_old!S$17*Tariffa_old!S19/1000</f>
        <v>0</v>
      </c>
      <c r="T8" s="110">
        <f>Tariffa_old!T$17*Tariffa_old!T19/1000</f>
        <v>0</v>
      </c>
      <c r="U8" s="111">
        <f t="shared" ref="U8:U17" si="0">SUM(D8:T8)</f>
        <v>0</v>
      </c>
    </row>
    <row r="9" spans="1:22">
      <c r="A9" s="112" t="s">
        <v>9</v>
      </c>
      <c r="B9" s="113" t="s">
        <v>21</v>
      </c>
      <c r="C9" s="109">
        <f>IF(mc&gt;0,SUM(D9:T9)/$C$5*1000,0)</f>
        <v>0</v>
      </c>
      <c r="D9" s="110">
        <f>Tariffa_old!D$17*Tariffa_old!D20/1000</f>
        <v>0</v>
      </c>
      <c r="E9" s="110">
        <f>Tariffa_old!E$17*Tariffa_old!E20/1000</f>
        <v>0</v>
      </c>
      <c r="F9" s="110">
        <f>Tariffa_old!F$17*Tariffa_old!F20/1000</f>
        <v>0</v>
      </c>
      <c r="G9" s="110">
        <f>Tariffa_old!G$17*Tariffa_old!G20/1000</f>
        <v>0</v>
      </c>
      <c r="H9" s="110">
        <f>Tariffa_old!H$17*Tariffa_old!H20/1000</f>
        <v>0</v>
      </c>
      <c r="I9" s="110">
        <f>Tariffa_old!I$17*Tariffa_old!I20/1000</f>
        <v>0</v>
      </c>
      <c r="J9" s="110">
        <f>Tariffa_old!J$17*Tariffa_old!J20/1000</f>
        <v>0</v>
      </c>
      <c r="K9" s="110">
        <f>Tariffa_old!K$17*Tariffa_old!K20/1000</f>
        <v>0</v>
      </c>
      <c r="L9" s="110">
        <f>Tariffa_old!L$17*Tariffa_old!L20/1000</f>
        <v>0</v>
      </c>
      <c r="M9" s="110">
        <f>Tariffa_old!M$17*Tariffa_old!M20/1000</f>
        <v>0</v>
      </c>
      <c r="N9" s="110">
        <f>Tariffa_old!N$17*Tariffa_old!N20/1000</f>
        <v>0</v>
      </c>
      <c r="O9" s="110">
        <f>Tariffa_old!O$17*Tariffa_old!O20/1000</f>
        <v>0</v>
      </c>
      <c r="P9" s="110">
        <f>Tariffa_old!P$17*Tariffa_old!P20/1000</f>
        <v>0</v>
      </c>
      <c r="Q9" s="110">
        <f>Tariffa_old!Q$17*Tariffa_old!Q20/1000</f>
        <v>0</v>
      </c>
      <c r="R9" s="110">
        <f>Tariffa_old!R$17*Tariffa_old!R20/1000</f>
        <v>0</v>
      </c>
      <c r="S9" s="110">
        <f>Tariffa_old!S$17*Tariffa_old!S20/1000</f>
        <v>0</v>
      </c>
      <c r="T9" s="110">
        <f>Tariffa_old!T$17*Tariffa_old!T20/1000</f>
        <v>0</v>
      </c>
      <c r="U9" s="111">
        <f t="shared" si="0"/>
        <v>0</v>
      </c>
    </row>
    <row r="10" spans="1:22">
      <c r="A10" s="112" t="s">
        <v>11</v>
      </c>
      <c r="B10" s="113" t="s">
        <v>21</v>
      </c>
      <c r="C10" s="114">
        <f>IF(mc&gt;0,SUM(D10:T10)/$C$5*1000,0)</f>
        <v>0</v>
      </c>
      <c r="D10" s="110">
        <f>Tariffa_old!D$17*Tariffa_old!D21/1000</f>
        <v>0</v>
      </c>
      <c r="E10" s="110">
        <f>Tariffa_old!E$17*Tariffa_old!E21/1000</f>
        <v>0</v>
      </c>
      <c r="F10" s="110">
        <f>Tariffa_old!F$17*Tariffa_old!F21/1000</f>
        <v>0</v>
      </c>
      <c r="G10" s="110">
        <f>Tariffa_old!G$17*Tariffa_old!G21/1000</f>
        <v>0</v>
      </c>
      <c r="H10" s="110">
        <f>Tariffa_old!H$17*Tariffa_old!H21/1000</f>
        <v>0</v>
      </c>
      <c r="I10" s="110">
        <f>Tariffa_old!I$17*Tariffa_old!I21/1000</f>
        <v>0</v>
      </c>
      <c r="J10" s="110">
        <f>Tariffa_old!J$17*Tariffa_old!J21/1000</f>
        <v>0</v>
      </c>
      <c r="K10" s="110">
        <f>Tariffa_old!K$17*Tariffa_old!K21/1000</f>
        <v>0</v>
      </c>
      <c r="L10" s="110">
        <f>Tariffa_old!L$17*Tariffa_old!L21/1000</f>
        <v>0</v>
      </c>
      <c r="M10" s="110">
        <f>Tariffa_old!M$17*Tariffa_old!M21/1000</f>
        <v>0</v>
      </c>
      <c r="N10" s="110">
        <f>Tariffa_old!N$17*Tariffa_old!N21/1000</f>
        <v>0</v>
      </c>
      <c r="O10" s="110">
        <f>Tariffa_old!O$17*Tariffa_old!O21/1000</f>
        <v>0</v>
      </c>
      <c r="P10" s="110">
        <f>Tariffa_old!P$17*Tariffa_old!P21/1000</f>
        <v>0</v>
      </c>
      <c r="Q10" s="110">
        <f>Tariffa_old!Q$17*Tariffa_old!Q21/1000</f>
        <v>0</v>
      </c>
      <c r="R10" s="110">
        <f>Tariffa_old!R$17*Tariffa_old!R21/1000</f>
        <v>0</v>
      </c>
      <c r="S10" s="110">
        <f>Tariffa_old!S$17*Tariffa_old!S21/1000</f>
        <v>0</v>
      </c>
      <c r="T10" s="110">
        <f>Tariffa_old!T$17*Tariffa_old!T21/1000</f>
        <v>0</v>
      </c>
      <c r="U10" s="111">
        <f t="shared" si="0"/>
        <v>0</v>
      </c>
      <c r="V10" s="115"/>
    </row>
    <row r="11" spans="1:22">
      <c r="A11" s="112" t="s">
        <v>12</v>
      </c>
      <c r="B11" s="113" t="s">
        <v>21</v>
      </c>
      <c r="C11" s="116">
        <f t="shared" ref="C11:C16" si="1">IF(mc&gt;0,SUM(D11:T11)/$C$5*1000,0)</f>
        <v>0</v>
      </c>
      <c r="D11" s="110">
        <f>Tariffa_old!D$17*Tariffa_old!D22/1000</f>
        <v>0</v>
      </c>
      <c r="E11" s="110">
        <f>Tariffa_old!E$17*Tariffa_old!E22/1000</f>
        <v>0</v>
      </c>
      <c r="F11" s="110">
        <f>Tariffa_old!F$17*Tariffa_old!F22/1000</f>
        <v>0</v>
      </c>
      <c r="G11" s="110">
        <f>Tariffa_old!G$17*Tariffa_old!G22/1000</f>
        <v>0</v>
      </c>
      <c r="H11" s="110">
        <f>Tariffa_old!H$17*Tariffa_old!H22/1000</f>
        <v>0</v>
      </c>
      <c r="I11" s="110">
        <f>Tariffa_old!I$17*Tariffa_old!I22/1000</f>
        <v>0</v>
      </c>
      <c r="J11" s="110">
        <f>Tariffa_old!J$17*Tariffa_old!J22/1000</f>
        <v>0</v>
      </c>
      <c r="K11" s="110">
        <f>Tariffa_old!K$17*Tariffa_old!K22/1000</f>
        <v>0</v>
      </c>
      <c r="L11" s="110">
        <f>Tariffa_old!L$17*Tariffa_old!L22/1000</f>
        <v>0</v>
      </c>
      <c r="M11" s="110">
        <f>Tariffa_old!M$17*Tariffa_old!M22/1000</f>
        <v>0</v>
      </c>
      <c r="N11" s="110">
        <f>Tariffa_old!N$17*Tariffa_old!N22/1000</f>
        <v>0</v>
      </c>
      <c r="O11" s="110">
        <f>Tariffa_old!O$17*Tariffa_old!O22/1000</f>
        <v>0</v>
      </c>
      <c r="P11" s="110">
        <f>Tariffa_old!P$17*Tariffa_old!P22/1000</f>
        <v>0</v>
      </c>
      <c r="Q11" s="110">
        <f>Tariffa_old!Q$17*Tariffa_old!Q22/1000</f>
        <v>0</v>
      </c>
      <c r="R11" s="110">
        <f>Tariffa_old!R$17*Tariffa_old!R22/1000</f>
        <v>0</v>
      </c>
      <c r="S11" s="110">
        <f>Tariffa_old!S$17*Tariffa_old!S22/1000</f>
        <v>0</v>
      </c>
      <c r="T11" s="110">
        <f>Tariffa_old!T$17*Tariffa_old!T22/1000</f>
        <v>0</v>
      </c>
      <c r="U11" s="111">
        <f t="shared" si="0"/>
        <v>0</v>
      </c>
      <c r="V11" s="117"/>
    </row>
    <row r="12" spans="1:22">
      <c r="A12" s="112" t="s">
        <v>17</v>
      </c>
      <c r="B12" s="113" t="s">
        <v>21</v>
      </c>
      <c r="C12" s="109">
        <f t="shared" si="1"/>
        <v>0</v>
      </c>
      <c r="D12" s="110">
        <f>(Tariffa_old!D$17*Tariffa_old!D25/1000)+(Tariffa_old!D$17*Tariffa_old!D26/1000)</f>
        <v>0</v>
      </c>
      <c r="E12" s="110">
        <f>(Tariffa_old!E$17*Tariffa_old!E25/1000)+(Tariffa_old!E$17*Tariffa_old!E26/1000)</f>
        <v>0</v>
      </c>
      <c r="F12" s="110">
        <f>(Tariffa_old!F$17*Tariffa_old!F25/1000)+(Tariffa_old!F$17*Tariffa_old!F26/1000)</f>
        <v>0</v>
      </c>
      <c r="G12" s="110">
        <f>(Tariffa_old!G$17*Tariffa_old!G25/1000)+(Tariffa_old!G$17*Tariffa_old!G26/1000)</f>
        <v>0</v>
      </c>
      <c r="H12" s="110">
        <f>(Tariffa_old!H$17*Tariffa_old!H25/1000)+(Tariffa_old!H$17*Tariffa_old!H26/1000)</f>
        <v>0</v>
      </c>
      <c r="I12" s="110">
        <f>(Tariffa_old!I$17*Tariffa_old!I25/1000)+(Tariffa_old!I$17*Tariffa_old!I26/1000)</f>
        <v>0</v>
      </c>
      <c r="J12" s="110">
        <f>(Tariffa_old!J$17*Tariffa_old!J25/1000)+(Tariffa_old!J$17*Tariffa_old!J26/1000)</f>
        <v>0</v>
      </c>
      <c r="K12" s="110">
        <f>(Tariffa_old!K$17*Tariffa_old!K25/1000)+(Tariffa_old!K$17*Tariffa_old!K26/1000)</f>
        <v>0</v>
      </c>
      <c r="L12" s="110">
        <f>(Tariffa_old!L$17*Tariffa_old!L25/1000)+(Tariffa_old!L$17*Tariffa_old!L26/1000)</f>
        <v>0</v>
      </c>
      <c r="M12" s="110">
        <f>(Tariffa_old!M$17*Tariffa_old!M25/1000)+(Tariffa_old!M$17*Tariffa_old!M26/1000)</f>
        <v>0</v>
      </c>
      <c r="N12" s="110">
        <f>(Tariffa_old!N$17*Tariffa_old!N25/1000)+(Tariffa_old!N$17*Tariffa_old!N26/1000)</f>
        <v>0</v>
      </c>
      <c r="O12" s="110">
        <f>(Tariffa_old!O$17*Tariffa_old!O25/1000)+(Tariffa_old!O$17*Tariffa_old!O26/1000)</f>
        <v>0</v>
      </c>
      <c r="P12" s="110">
        <f>(Tariffa_old!P$17*Tariffa_old!P25/1000)+(Tariffa_old!P$17*Tariffa_old!P26/1000)</f>
        <v>0</v>
      </c>
      <c r="Q12" s="110">
        <f>(Tariffa_old!Q$17*Tariffa_old!Q25/1000)+(Tariffa_old!Q$17*Tariffa_old!Q26/1000)</f>
        <v>0</v>
      </c>
      <c r="R12" s="110">
        <f>(Tariffa_old!R$17*Tariffa_old!R25/1000)+(Tariffa_old!R$17*Tariffa_old!R26/1000)</f>
        <v>0</v>
      </c>
      <c r="S12" s="110">
        <f>(Tariffa_old!S$17*Tariffa_old!S25/1000)+(Tariffa_old!S$17*Tariffa_old!S26/1000)</f>
        <v>0</v>
      </c>
      <c r="T12" s="110">
        <f>(Tariffa_old!T$17*Tariffa_old!T25/1000)+(Tariffa_old!T$17*Tariffa_old!T26/1000)</f>
        <v>0</v>
      </c>
      <c r="U12" s="111">
        <f t="shared" si="0"/>
        <v>0</v>
      </c>
      <c r="V12" s="118"/>
    </row>
    <row r="13" spans="1:22">
      <c r="A13" s="393" t="s">
        <v>465</v>
      </c>
      <c r="B13" s="113" t="s">
        <v>21</v>
      </c>
      <c r="C13" s="109">
        <f t="shared" si="1"/>
        <v>0</v>
      </c>
      <c r="D13" s="110">
        <f>Tariffa_old!D$17*Tariffa_old!D28/1000</f>
        <v>0</v>
      </c>
      <c r="E13" s="110">
        <f>Tariffa_old!E$17*Tariffa_old!E28/1000</f>
        <v>0</v>
      </c>
      <c r="F13" s="110">
        <f>Tariffa_old!F$17*Tariffa_old!F28/1000</f>
        <v>0</v>
      </c>
      <c r="G13" s="110">
        <f>Tariffa_old!G$17*Tariffa_old!G28/1000</f>
        <v>0</v>
      </c>
      <c r="H13" s="110">
        <f>Tariffa_old!H$17*Tariffa_old!H28/1000</f>
        <v>0</v>
      </c>
      <c r="I13" s="110">
        <f>Tariffa_old!I$17*Tariffa_old!I28/1000</f>
        <v>0</v>
      </c>
      <c r="J13" s="110">
        <f>Tariffa_old!J$17*Tariffa_old!J28/1000</f>
        <v>0</v>
      </c>
      <c r="K13" s="110">
        <f>Tariffa_old!K$17*Tariffa_old!K28/1000</f>
        <v>0</v>
      </c>
      <c r="L13" s="110">
        <f>Tariffa_old!L$17*Tariffa_old!L28/1000</f>
        <v>0</v>
      </c>
      <c r="M13" s="110">
        <f>Tariffa_old!M$17*Tariffa_old!M28/1000</f>
        <v>0</v>
      </c>
      <c r="N13" s="110">
        <f>Tariffa_old!N$17*Tariffa_old!N28/1000</f>
        <v>0</v>
      </c>
      <c r="O13" s="110">
        <f>Tariffa_old!O$17*Tariffa_old!O28/1000</f>
        <v>0</v>
      </c>
      <c r="P13" s="110">
        <f>Tariffa_old!P$17*Tariffa_old!P28/1000</f>
        <v>0</v>
      </c>
      <c r="Q13" s="110">
        <f>Tariffa_old!Q$17*Tariffa_old!Q28/1000</f>
        <v>0</v>
      </c>
      <c r="R13" s="110">
        <f>Tariffa_old!R$17*Tariffa_old!R28/1000</f>
        <v>0</v>
      </c>
      <c r="S13" s="110">
        <f>Tariffa_old!S$17*Tariffa_old!S28/1000</f>
        <v>0</v>
      </c>
      <c r="T13" s="110">
        <f>Tariffa_old!T$17*Tariffa_old!T28/1000</f>
        <v>0</v>
      </c>
      <c r="U13" s="111">
        <f t="shared" si="0"/>
        <v>0</v>
      </c>
      <c r="V13" s="118"/>
    </row>
    <row r="14" spans="1:22">
      <c r="A14" s="393" t="s">
        <v>466</v>
      </c>
      <c r="B14" s="113" t="s">
        <v>21</v>
      </c>
      <c r="C14" s="109">
        <f t="shared" si="1"/>
        <v>0</v>
      </c>
      <c r="D14" s="110">
        <f>Tariffa_old!D$17*Tariffa_old!D29/1000</f>
        <v>0</v>
      </c>
      <c r="E14" s="110">
        <f>Tariffa_old!E$17*Tariffa_old!E29/1000</f>
        <v>0</v>
      </c>
      <c r="F14" s="110">
        <f>Tariffa_old!F$17*Tariffa_old!F29/1000</f>
        <v>0</v>
      </c>
      <c r="G14" s="110">
        <f>Tariffa_old!G$17*Tariffa_old!G29/1000</f>
        <v>0</v>
      </c>
      <c r="H14" s="110">
        <f>Tariffa_old!H$17*Tariffa_old!H29/1000</f>
        <v>0</v>
      </c>
      <c r="I14" s="110">
        <f>Tariffa_old!I$17*Tariffa_old!I29/1000</f>
        <v>0</v>
      </c>
      <c r="J14" s="110">
        <f>Tariffa_old!J$17*Tariffa_old!J29/1000</f>
        <v>0</v>
      </c>
      <c r="K14" s="110">
        <f>Tariffa_old!K$17*Tariffa_old!K29/1000</f>
        <v>0</v>
      </c>
      <c r="L14" s="110">
        <f>Tariffa_old!L$17*Tariffa_old!L29/1000</f>
        <v>0</v>
      </c>
      <c r="M14" s="110">
        <f>Tariffa_old!M$17*Tariffa_old!M29/1000</f>
        <v>0</v>
      </c>
      <c r="N14" s="110">
        <f>Tariffa_old!N$17*Tariffa_old!N29/1000</f>
        <v>0</v>
      </c>
      <c r="O14" s="110">
        <f>Tariffa_old!O$17*Tariffa_old!O29/1000</f>
        <v>0</v>
      </c>
      <c r="P14" s="110">
        <f>Tariffa_old!P$17*Tariffa_old!P29/1000</f>
        <v>0</v>
      </c>
      <c r="Q14" s="110">
        <f>Tariffa_old!Q$17*Tariffa_old!Q29/1000</f>
        <v>0</v>
      </c>
      <c r="R14" s="110">
        <f>Tariffa_old!R$17*Tariffa_old!R29/1000</f>
        <v>0</v>
      </c>
      <c r="S14" s="110">
        <f>Tariffa_old!S$17*Tariffa_old!S29/1000</f>
        <v>0</v>
      </c>
      <c r="T14" s="110">
        <f>Tariffa_old!T$17*Tariffa_old!T29/1000</f>
        <v>0</v>
      </c>
      <c r="U14" s="111">
        <f t="shared" si="0"/>
        <v>0</v>
      </c>
      <c r="V14" s="118"/>
    </row>
    <row r="15" spans="1:22">
      <c r="A15" s="394" t="s">
        <v>46</v>
      </c>
      <c r="B15" s="395" t="s">
        <v>21</v>
      </c>
      <c r="C15" s="396">
        <f t="shared" si="1"/>
        <v>0</v>
      </c>
      <c r="D15" s="397">
        <f>Tariffa_old!D$17*Tariffa_old!D30/1000</f>
        <v>0</v>
      </c>
      <c r="E15" s="397">
        <f>Tariffa_old!E$17*Tariffa_old!E30/1000</f>
        <v>0</v>
      </c>
      <c r="F15" s="397">
        <f>Tariffa_old!F$17*Tariffa_old!F30/1000</f>
        <v>0</v>
      </c>
      <c r="G15" s="397">
        <f>Tariffa_old!G$17*Tariffa_old!G30/1000</f>
        <v>0</v>
      </c>
      <c r="H15" s="397">
        <f>Tariffa_old!H$17*Tariffa_old!H30/1000</f>
        <v>0</v>
      </c>
      <c r="I15" s="397">
        <f>Tariffa_old!I$17*Tariffa_old!I30/1000</f>
        <v>0</v>
      </c>
      <c r="J15" s="397">
        <f>Tariffa_old!J$17*Tariffa_old!J30/1000</f>
        <v>0</v>
      </c>
      <c r="K15" s="397">
        <f>Tariffa_old!K$17*Tariffa_old!K30/1000</f>
        <v>0</v>
      </c>
      <c r="L15" s="397">
        <f>Tariffa_old!L$17*Tariffa_old!L30/1000</f>
        <v>0</v>
      </c>
      <c r="M15" s="397">
        <f>Tariffa_old!M$17*Tariffa_old!M30/1000</f>
        <v>0</v>
      </c>
      <c r="N15" s="397">
        <f>Tariffa_old!N$17*Tariffa_old!N30/1000</f>
        <v>0</v>
      </c>
      <c r="O15" s="397">
        <f>Tariffa_old!O$17*Tariffa_old!O30/1000</f>
        <v>0</v>
      </c>
      <c r="P15" s="397">
        <f>Tariffa_old!P$17*Tariffa_old!P30/1000</f>
        <v>0</v>
      </c>
      <c r="Q15" s="397">
        <f>Tariffa_old!Q$17*Tariffa_old!Q30/1000</f>
        <v>0</v>
      </c>
      <c r="R15" s="397">
        <f>Tariffa_old!R$17*Tariffa_old!R30/1000</f>
        <v>0</v>
      </c>
      <c r="S15" s="397">
        <f>Tariffa_old!S$17*Tariffa_old!S30/1000</f>
        <v>0</v>
      </c>
      <c r="T15" s="397">
        <f>Tariffa_old!T$17*Tariffa_old!T30/1000</f>
        <v>0</v>
      </c>
      <c r="U15" s="398">
        <f t="shared" si="0"/>
        <v>0</v>
      </c>
      <c r="V15" s="118"/>
    </row>
    <row r="16" spans="1:22">
      <c r="A16" s="394" t="s">
        <v>47</v>
      </c>
      <c r="B16" s="395" t="s">
        <v>21</v>
      </c>
      <c r="C16" s="396">
        <f t="shared" si="1"/>
        <v>0</v>
      </c>
      <c r="D16" s="397">
        <f>Tariffa_old!D$17*Tariffa_old!D31/1000</f>
        <v>0</v>
      </c>
      <c r="E16" s="397">
        <f>Tariffa_old!E$17*Tariffa_old!E31/1000</f>
        <v>0</v>
      </c>
      <c r="F16" s="397">
        <f>Tariffa_old!F$17*Tariffa_old!F31/1000</f>
        <v>0</v>
      </c>
      <c r="G16" s="397">
        <f>Tariffa_old!G$17*Tariffa_old!G31/1000</f>
        <v>0</v>
      </c>
      <c r="H16" s="397">
        <f>Tariffa_old!H$17*Tariffa_old!H31/1000</f>
        <v>0</v>
      </c>
      <c r="I16" s="397">
        <f>Tariffa_old!I$17*Tariffa_old!I31/1000</f>
        <v>0</v>
      </c>
      <c r="J16" s="397">
        <f>Tariffa_old!J$17*Tariffa_old!J31/1000</f>
        <v>0</v>
      </c>
      <c r="K16" s="397">
        <f>Tariffa_old!K$17*Tariffa_old!K31/1000</f>
        <v>0</v>
      </c>
      <c r="L16" s="397">
        <f>Tariffa_old!L$17*Tariffa_old!L31/1000</f>
        <v>0</v>
      </c>
      <c r="M16" s="397">
        <f>Tariffa_old!M$17*Tariffa_old!M31/1000</f>
        <v>0</v>
      </c>
      <c r="N16" s="397">
        <f>Tariffa_old!N$17*Tariffa_old!N31/1000</f>
        <v>0</v>
      </c>
      <c r="O16" s="397">
        <f>Tariffa_old!O$17*Tariffa_old!O31/1000</f>
        <v>0</v>
      </c>
      <c r="P16" s="397">
        <f>Tariffa_old!P$17*Tariffa_old!P31/1000</f>
        <v>0</v>
      </c>
      <c r="Q16" s="397">
        <f>Tariffa_old!Q$17*Tariffa_old!Q31/1000</f>
        <v>0</v>
      </c>
      <c r="R16" s="397">
        <f>Tariffa_old!R$17*Tariffa_old!R31/1000</f>
        <v>0</v>
      </c>
      <c r="S16" s="397">
        <f>Tariffa_old!S$17*Tariffa_old!S31/1000</f>
        <v>0</v>
      </c>
      <c r="T16" s="397">
        <f>Tariffa_old!T$17*Tariffa_old!T31/1000</f>
        <v>0</v>
      </c>
      <c r="U16" s="398">
        <f t="shared" si="0"/>
        <v>0</v>
      </c>
      <c r="V16" s="118"/>
    </row>
    <row r="17" spans="1:36">
      <c r="A17" s="394" t="s">
        <v>50</v>
      </c>
      <c r="B17" s="395" t="s">
        <v>21</v>
      </c>
      <c r="C17" s="396">
        <f>SUM(C13:C16)</f>
        <v>0</v>
      </c>
      <c r="D17" s="399">
        <f>SUM(D13:D16)</f>
        <v>0</v>
      </c>
      <c r="E17" s="399">
        <f t="shared" ref="E17:T17" si="2">SUM(E13:E16)</f>
        <v>0</v>
      </c>
      <c r="F17" s="399">
        <f t="shared" si="2"/>
        <v>0</v>
      </c>
      <c r="G17" s="399">
        <f t="shared" si="2"/>
        <v>0</v>
      </c>
      <c r="H17" s="399">
        <f t="shared" si="2"/>
        <v>0</v>
      </c>
      <c r="I17" s="399">
        <f t="shared" si="2"/>
        <v>0</v>
      </c>
      <c r="J17" s="399">
        <f t="shared" si="2"/>
        <v>0</v>
      </c>
      <c r="K17" s="399">
        <f t="shared" si="2"/>
        <v>0</v>
      </c>
      <c r="L17" s="399">
        <f t="shared" si="2"/>
        <v>0</v>
      </c>
      <c r="M17" s="399">
        <f t="shared" si="2"/>
        <v>0</v>
      </c>
      <c r="N17" s="399">
        <f t="shared" si="2"/>
        <v>0</v>
      </c>
      <c r="O17" s="399">
        <f t="shared" si="2"/>
        <v>0</v>
      </c>
      <c r="P17" s="399">
        <f t="shared" si="2"/>
        <v>0</v>
      </c>
      <c r="Q17" s="399">
        <f t="shared" si="2"/>
        <v>0</v>
      </c>
      <c r="R17" s="399">
        <f t="shared" si="2"/>
        <v>0</v>
      </c>
      <c r="S17" s="399">
        <f t="shared" si="2"/>
        <v>0</v>
      </c>
      <c r="T17" s="399">
        <f t="shared" si="2"/>
        <v>0</v>
      </c>
      <c r="U17" s="398">
        <f t="shared" si="0"/>
        <v>0</v>
      </c>
      <c r="V17" s="118"/>
    </row>
    <row r="18" spans="1:36">
      <c r="A18" s="112" t="s">
        <v>13</v>
      </c>
      <c r="B18" s="119"/>
      <c r="C18" s="109">
        <f>IF(C11&gt;0,C10/C11,0)</f>
        <v>0</v>
      </c>
      <c r="D18" s="118"/>
      <c r="E18" s="120"/>
      <c r="F18" s="120"/>
      <c r="G18" s="120"/>
      <c r="H18" s="120"/>
      <c r="I18" s="118"/>
      <c r="J18" s="118"/>
      <c r="K18" s="118"/>
      <c r="L18" s="118"/>
      <c r="M18" s="118"/>
      <c r="N18" s="118"/>
      <c r="O18" s="118"/>
      <c r="P18" s="118"/>
      <c r="Q18" s="118"/>
      <c r="R18" s="118"/>
      <c r="S18" s="118"/>
      <c r="T18" s="118"/>
      <c r="U18" s="118"/>
      <c r="V18" s="118"/>
    </row>
    <row r="19" spans="1:36">
      <c r="A19" s="121" t="s">
        <v>108</v>
      </c>
      <c r="B19" s="248"/>
      <c r="D19" s="121" t="s">
        <v>110</v>
      </c>
      <c r="G19" s="605" t="s">
        <v>92</v>
      </c>
      <c r="H19" s="605"/>
      <c r="I19" s="605"/>
      <c r="J19" s="605"/>
      <c r="K19" s="605"/>
      <c r="L19" s="605"/>
      <c r="T19" s="118"/>
      <c r="U19" s="118"/>
      <c r="V19" s="118"/>
    </row>
    <row r="20" spans="1:36">
      <c r="B20" s="119"/>
      <c r="C20" s="121" t="s">
        <v>111</v>
      </c>
      <c r="D20" s="152">
        <f>'DATI UTENTE'!D26</f>
        <v>0</v>
      </c>
      <c r="G20" s="122" t="s">
        <v>91</v>
      </c>
      <c r="H20" s="122" t="s">
        <v>65</v>
      </c>
      <c r="I20" s="122" t="s">
        <v>66</v>
      </c>
      <c r="J20" s="122" t="s">
        <v>67</v>
      </c>
      <c r="K20" s="122" t="s">
        <v>68</v>
      </c>
      <c r="L20" s="122" t="s">
        <v>69</v>
      </c>
      <c r="N20" s="605" t="s">
        <v>93</v>
      </c>
      <c r="O20" s="605"/>
      <c r="P20" s="605"/>
      <c r="Q20" s="605"/>
      <c r="R20" s="605"/>
      <c r="S20" s="605"/>
      <c r="T20" s="118"/>
      <c r="U20" s="118"/>
      <c r="V20" s="118"/>
    </row>
    <row r="21" spans="1:36">
      <c r="A21" s="216"/>
      <c r="B21" s="124"/>
      <c r="C21" s="121" t="s">
        <v>112</v>
      </c>
      <c r="D21" s="385">
        <f>'DATI UTENTE'!D28</f>
        <v>0</v>
      </c>
      <c r="F21" s="102">
        <v>1</v>
      </c>
      <c r="G21" s="125">
        <v>1000000000</v>
      </c>
      <c r="H21" s="126">
        <v>96</v>
      </c>
      <c r="I21" s="127">
        <v>128</v>
      </c>
      <c r="J21" s="127">
        <v>160</v>
      </c>
      <c r="K21" s="127">
        <v>192</v>
      </c>
      <c r="L21" s="127">
        <v>64</v>
      </c>
      <c r="O21" s="125">
        <v>1000000</v>
      </c>
      <c r="P21" s="119">
        <v>3.5</v>
      </c>
      <c r="Q21" s="119">
        <v>3</v>
      </c>
      <c r="R21" s="128">
        <v>2.5</v>
      </c>
      <c r="S21" s="129">
        <v>2</v>
      </c>
      <c r="T21" s="117"/>
      <c r="U21" s="130"/>
      <c r="V21" s="117"/>
      <c r="W21" s="131"/>
      <c r="X21" s="131"/>
      <c r="Y21" s="131"/>
      <c r="Z21" s="131"/>
      <c r="AA21" s="131"/>
      <c r="AB21" s="131"/>
      <c r="AC21" s="131"/>
      <c r="AD21" s="131"/>
      <c r="AE21" s="131"/>
      <c r="AF21" s="131"/>
      <c r="AG21" s="131"/>
      <c r="AH21" s="131"/>
      <c r="AI21" s="131"/>
      <c r="AJ21" s="131"/>
    </row>
    <row r="22" spans="1:36">
      <c r="A22" s="123" t="s">
        <v>64</v>
      </c>
      <c r="B22" s="119"/>
      <c r="C22" s="121" t="s">
        <v>113</v>
      </c>
      <c r="D22" s="386">
        <f>'DATI UTENTE'!D30</f>
        <v>0</v>
      </c>
      <c r="F22" s="102">
        <v>2</v>
      </c>
      <c r="G22" s="125">
        <v>3000000</v>
      </c>
      <c r="H22" s="133">
        <v>84</v>
      </c>
      <c r="I22" s="127">
        <v>112</v>
      </c>
      <c r="J22" s="127">
        <v>140</v>
      </c>
      <c r="K22" s="127">
        <v>168</v>
      </c>
      <c r="L22" s="127">
        <v>56</v>
      </c>
      <c r="N22" s="129">
        <v>12</v>
      </c>
      <c r="O22" s="134">
        <v>0</v>
      </c>
      <c r="P22" s="134">
        <v>0</v>
      </c>
      <c r="Q22" s="134">
        <v>0</v>
      </c>
      <c r="R22" s="134">
        <v>0</v>
      </c>
      <c r="S22" s="134">
        <v>0</v>
      </c>
      <c r="T22" s="118"/>
      <c r="U22" s="135"/>
      <c r="V22" s="118"/>
      <c r="W22" s="136"/>
      <c r="X22" s="137"/>
      <c r="Y22" s="137"/>
      <c r="Z22" s="137"/>
      <c r="AA22" s="137"/>
      <c r="AB22" s="136"/>
      <c r="AC22" s="136"/>
      <c r="AD22" s="136"/>
      <c r="AE22" s="137"/>
      <c r="AF22" s="137"/>
      <c r="AG22" s="137"/>
      <c r="AH22" s="137"/>
      <c r="AI22" s="136"/>
      <c r="AJ22" s="136"/>
    </row>
    <row r="23" spans="1:36">
      <c r="A23" s="123" t="s">
        <v>54</v>
      </c>
      <c r="B23" s="119"/>
      <c r="C23" s="121" t="s">
        <v>81</v>
      </c>
      <c r="D23" s="119">
        <f>'DATI UTENTE'!D32</f>
        <v>0</v>
      </c>
      <c r="F23" s="102">
        <v>3</v>
      </c>
      <c r="G23" s="125">
        <v>1000000</v>
      </c>
      <c r="H23" s="127">
        <v>72</v>
      </c>
      <c r="I23" s="127">
        <v>96</v>
      </c>
      <c r="J23" s="127">
        <v>120</v>
      </c>
      <c r="K23" s="127">
        <v>144</v>
      </c>
      <c r="L23" s="127">
        <v>48</v>
      </c>
      <c r="N23" s="129">
        <v>8</v>
      </c>
      <c r="O23" s="134">
        <v>0</v>
      </c>
      <c r="P23" s="134">
        <v>0</v>
      </c>
      <c r="Q23" s="134">
        <v>0</v>
      </c>
      <c r="R23" s="134">
        <v>0</v>
      </c>
      <c r="S23" s="134">
        <v>0</v>
      </c>
      <c r="T23" s="118"/>
      <c r="U23" s="130"/>
      <c r="V23" s="118"/>
      <c r="W23" s="136"/>
      <c r="X23" s="137"/>
      <c r="Y23" s="137"/>
      <c r="Z23" s="137"/>
      <c r="AA23" s="137"/>
      <c r="AB23" s="136"/>
      <c r="AC23" s="136"/>
      <c r="AD23" s="136"/>
      <c r="AE23" s="137"/>
      <c r="AF23" s="137"/>
      <c r="AG23" s="137"/>
      <c r="AH23" s="137"/>
      <c r="AI23" s="136"/>
      <c r="AJ23" s="136"/>
    </row>
    <row r="24" spans="1:36">
      <c r="A24" s="216"/>
      <c r="B24" s="119"/>
      <c r="C24" s="121" t="s">
        <v>82</v>
      </c>
      <c r="D24" s="119" t="s">
        <v>70</v>
      </c>
      <c r="F24" s="102">
        <v>4</v>
      </c>
      <c r="G24" s="125">
        <v>300000</v>
      </c>
      <c r="H24" s="127">
        <v>60</v>
      </c>
      <c r="I24" s="127">
        <v>80</v>
      </c>
      <c r="J24" s="127">
        <v>100</v>
      </c>
      <c r="K24" s="127">
        <v>120</v>
      </c>
      <c r="L24" s="127">
        <v>40</v>
      </c>
      <c r="N24" s="129">
        <v>4</v>
      </c>
      <c r="O24" s="134">
        <v>0</v>
      </c>
      <c r="P24" s="134">
        <v>0</v>
      </c>
      <c r="Q24" s="134">
        <v>0</v>
      </c>
      <c r="R24" s="134">
        <v>0</v>
      </c>
      <c r="S24" s="134">
        <v>0</v>
      </c>
      <c r="T24" s="118"/>
      <c r="U24" s="135"/>
      <c r="V24" s="118"/>
      <c r="W24" s="136"/>
      <c r="X24" s="137"/>
      <c r="Y24" s="137"/>
      <c r="Z24" s="137"/>
      <c r="AA24" s="137"/>
      <c r="AB24" s="136"/>
      <c r="AC24" s="136"/>
      <c r="AD24" s="136"/>
      <c r="AE24" s="137"/>
      <c r="AF24" s="137"/>
      <c r="AG24" s="137"/>
      <c r="AH24" s="137"/>
      <c r="AI24" s="136"/>
      <c r="AJ24" s="136"/>
    </row>
    <row r="25" spans="1:36">
      <c r="A25" s="123">
        <f>Consorzio</f>
        <v>0</v>
      </c>
      <c r="F25" s="102">
        <v>5</v>
      </c>
      <c r="G25" s="125">
        <v>100000</v>
      </c>
      <c r="H25" s="127">
        <v>48</v>
      </c>
      <c r="I25" s="127">
        <v>64</v>
      </c>
      <c r="J25" s="127">
        <v>80</v>
      </c>
      <c r="K25" s="127">
        <v>96</v>
      </c>
      <c r="L25" s="127">
        <v>32</v>
      </c>
      <c r="N25" s="138"/>
      <c r="O25" s="138"/>
      <c r="P25" s="123"/>
      <c r="T25" s="118"/>
      <c r="U25" s="130"/>
      <c r="V25" s="118"/>
      <c r="W25" s="136"/>
      <c r="X25" s="137"/>
      <c r="Y25" s="137"/>
      <c r="Z25" s="137"/>
      <c r="AA25" s="137"/>
      <c r="AB25" s="136"/>
      <c r="AC25" s="136"/>
      <c r="AD25" s="136"/>
      <c r="AE25" s="137"/>
      <c r="AF25" s="137"/>
      <c r="AG25" s="137"/>
      <c r="AH25" s="137"/>
      <c r="AI25" s="136"/>
      <c r="AJ25" s="136"/>
    </row>
    <row r="26" spans="1:36">
      <c r="A26" s="139" t="e">
        <f>MATCH(Consorzio,Consorzi,0)</f>
        <v>#N/A</v>
      </c>
      <c r="B26" s="102">
        <f>IF(ISNA(A26 ),0,A26)</f>
        <v>0</v>
      </c>
      <c r="F26" s="102">
        <v>6</v>
      </c>
      <c r="G26" s="125">
        <v>30000</v>
      </c>
      <c r="H26" s="127">
        <v>36</v>
      </c>
      <c r="I26" s="127">
        <v>48</v>
      </c>
      <c r="J26" s="127">
        <v>60</v>
      </c>
      <c r="K26" s="127">
        <v>72</v>
      </c>
      <c r="L26" s="127">
        <v>24</v>
      </c>
      <c r="N26" s="140">
        <f>Periodo</f>
        <v>0</v>
      </c>
      <c r="O26" s="141">
        <f>rapp</f>
        <v>0</v>
      </c>
      <c r="P26" s="165">
        <f>rapp-Delibere!D41</f>
        <v>-0.1</v>
      </c>
      <c r="Q26" s="166" t="s">
        <v>210</v>
      </c>
      <c r="T26" s="118"/>
      <c r="U26" s="135"/>
      <c r="V26" s="118"/>
      <c r="W26" s="136"/>
      <c r="X26" s="137"/>
      <c r="Y26" s="137"/>
      <c r="Z26" s="137"/>
      <c r="AA26" s="137"/>
      <c r="AB26" s="136"/>
      <c r="AC26" s="136"/>
      <c r="AD26" s="136"/>
      <c r="AE26" s="137"/>
      <c r="AF26" s="137"/>
      <c r="AG26" s="137"/>
      <c r="AH26" s="137"/>
      <c r="AI26" s="136"/>
      <c r="AJ26" s="136"/>
    </row>
    <row r="27" spans="1:36">
      <c r="F27" s="102">
        <v>7</v>
      </c>
      <c r="G27" s="125">
        <v>10000</v>
      </c>
      <c r="H27" s="127">
        <v>24</v>
      </c>
      <c r="I27" s="127">
        <v>32</v>
      </c>
      <c r="J27" s="127">
        <v>40</v>
      </c>
      <c r="K27" s="127">
        <v>48</v>
      </c>
      <c r="L27" s="127">
        <v>16</v>
      </c>
      <c r="N27" s="143">
        <f>MATCH(Periodo,N22:N24,-1)</f>
        <v>3</v>
      </c>
      <c r="O27" s="143">
        <f>MATCH((rapp-Delibere!D41),O21:S21,-1)</f>
        <v>5</v>
      </c>
      <c r="P27" s="144">
        <f>INDEX(O22:S24,N27,O27)</f>
        <v>0</v>
      </c>
      <c r="Q27" s="145"/>
      <c r="R27" s="145"/>
      <c r="T27" s="118"/>
      <c r="U27" s="118"/>
      <c r="V27" s="118"/>
      <c r="W27" s="136"/>
      <c r="X27" s="137"/>
      <c r="Y27" s="137"/>
      <c r="Z27" s="137"/>
      <c r="AA27" s="137"/>
      <c r="AB27" s="136"/>
      <c r="AC27" s="136"/>
      <c r="AD27" s="136"/>
      <c r="AE27" s="137"/>
      <c r="AF27" s="137"/>
      <c r="AG27" s="137"/>
      <c r="AH27" s="137"/>
      <c r="AI27" s="136"/>
      <c r="AJ27" s="136"/>
    </row>
    <row r="28" spans="1:36">
      <c r="A28" s="121" t="s">
        <v>107</v>
      </c>
      <c r="B28" s="119">
        <f>VALUE(D20)</f>
        <v>0</v>
      </c>
      <c r="F28" s="102">
        <v>8</v>
      </c>
      <c r="G28" s="103">
        <v>3000</v>
      </c>
      <c r="H28" s="127">
        <v>18</v>
      </c>
      <c r="I28" s="127">
        <v>24</v>
      </c>
      <c r="J28" s="127">
        <v>30</v>
      </c>
      <c r="K28" s="127">
        <v>36</v>
      </c>
      <c r="L28" s="127">
        <v>12</v>
      </c>
      <c r="O28" s="146"/>
      <c r="P28" s="146"/>
      <c r="Q28" s="146"/>
      <c r="T28" s="118"/>
      <c r="U28" s="118"/>
      <c r="V28" s="118"/>
      <c r="W28" s="136"/>
      <c r="X28" s="137"/>
      <c r="Y28" s="137"/>
      <c r="Z28" s="137"/>
      <c r="AA28" s="137"/>
      <c r="AB28" s="136"/>
      <c r="AC28" s="136"/>
      <c r="AD28" s="136"/>
      <c r="AE28" s="137"/>
      <c r="AF28" s="137"/>
      <c r="AG28" s="137"/>
      <c r="AH28" s="137"/>
      <c r="AI28" s="136"/>
      <c r="AJ28" s="136"/>
    </row>
    <row r="29" spans="1:36">
      <c r="A29" s="236" t="s">
        <v>254</v>
      </c>
      <c r="B29" s="148" t="e">
        <f>INDEX(Delibere!$A$12:$P$16,$A$26,2)</f>
        <v>#N/A</v>
      </c>
      <c r="F29" s="102">
        <v>9</v>
      </c>
      <c r="G29" s="103">
        <v>1000</v>
      </c>
      <c r="H29" s="127">
        <v>12</v>
      </c>
      <c r="I29" s="127">
        <v>16</v>
      </c>
      <c r="J29" s="127">
        <v>20</v>
      </c>
      <c r="K29" s="127">
        <v>24</v>
      </c>
      <c r="L29" s="127">
        <v>8</v>
      </c>
      <c r="N29" s="605" t="s">
        <v>94</v>
      </c>
      <c r="O29" s="605"/>
      <c r="P29" s="605"/>
      <c r="Q29" s="605"/>
      <c r="R29" s="605"/>
      <c r="S29" s="605"/>
      <c r="T29" s="118"/>
      <c r="U29" s="118"/>
      <c r="V29" s="118"/>
      <c r="W29" s="136"/>
      <c r="X29" s="137"/>
      <c r="Y29" s="137"/>
      <c r="Z29" s="137"/>
      <c r="AA29" s="137"/>
      <c r="AB29" s="136"/>
      <c r="AC29" s="136"/>
      <c r="AD29" s="136"/>
      <c r="AE29" s="137"/>
      <c r="AF29" s="137"/>
      <c r="AG29" s="137"/>
      <c r="AH29" s="137"/>
      <c r="AI29" s="136"/>
      <c r="AJ29" s="136"/>
    </row>
    <row r="30" spans="1:36">
      <c r="A30" s="147" t="s">
        <v>22</v>
      </c>
      <c r="B30" s="149" t="e">
        <f>INDEX(Delibere!$A$12:$P$16,$A$26,3)</f>
        <v>#N/A</v>
      </c>
      <c r="F30" s="102">
        <v>10</v>
      </c>
      <c r="G30" s="103">
        <v>300</v>
      </c>
      <c r="H30" s="127">
        <v>6</v>
      </c>
      <c r="I30" s="127">
        <v>8</v>
      </c>
      <c r="J30" s="127">
        <v>10</v>
      </c>
      <c r="K30" s="127">
        <v>12</v>
      </c>
      <c r="L30" s="127">
        <v>4</v>
      </c>
      <c r="O30" s="125">
        <v>1000000</v>
      </c>
      <c r="P30" s="119">
        <v>3.5</v>
      </c>
      <c r="Q30" s="119">
        <v>3</v>
      </c>
      <c r="R30" s="128">
        <v>2.5</v>
      </c>
      <c r="S30" s="129">
        <v>2</v>
      </c>
      <c r="T30" s="118"/>
      <c r="U30" s="118"/>
      <c r="V30" s="118"/>
      <c r="W30" s="136"/>
      <c r="X30" s="137"/>
      <c r="Y30" s="137"/>
      <c r="Z30" s="137"/>
      <c r="AA30" s="137"/>
      <c r="AB30" s="136"/>
      <c r="AC30" s="136"/>
      <c r="AD30" s="136"/>
      <c r="AE30" s="137"/>
      <c r="AF30" s="137"/>
      <c r="AG30" s="137"/>
      <c r="AH30" s="137"/>
      <c r="AI30" s="136"/>
      <c r="AJ30" s="136"/>
    </row>
    <row r="31" spans="1:36">
      <c r="A31" s="147" t="s">
        <v>23</v>
      </c>
      <c r="B31" s="143" t="e">
        <f>INDEX(Delibere!$A$12:$P$16,$A$26,4)</f>
        <v>#N/A</v>
      </c>
      <c r="F31" s="102">
        <v>11</v>
      </c>
      <c r="G31" s="103">
        <v>0</v>
      </c>
      <c r="H31" s="150">
        <v>3</v>
      </c>
      <c r="I31" s="127">
        <v>4</v>
      </c>
      <c r="J31" s="127">
        <v>5</v>
      </c>
      <c r="K31" s="127">
        <v>6</v>
      </c>
      <c r="L31" s="127">
        <v>2</v>
      </c>
      <c r="N31" s="151">
        <v>12</v>
      </c>
      <c r="O31" s="134">
        <v>2.4</v>
      </c>
      <c r="P31" s="134">
        <v>2.1</v>
      </c>
      <c r="Q31" s="134">
        <v>1.8</v>
      </c>
      <c r="R31" s="134">
        <v>1.5</v>
      </c>
      <c r="S31" s="134">
        <v>1</v>
      </c>
      <c r="T31" s="118"/>
      <c r="U31" s="118"/>
      <c r="V31" s="118"/>
      <c r="W31" s="136"/>
      <c r="X31" s="137"/>
      <c r="Y31" s="137"/>
      <c r="Z31" s="137"/>
      <c r="AA31" s="137"/>
      <c r="AB31" s="136"/>
      <c r="AC31" s="136"/>
      <c r="AD31" s="136"/>
      <c r="AE31" s="137"/>
      <c r="AF31" s="137"/>
      <c r="AG31" s="137"/>
      <c r="AH31" s="137"/>
      <c r="AI31" s="136"/>
      <c r="AJ31" s="136"/>
    </row>
    <row r="32" spans="1:36">
      <c r="A32" s="147" t="s">
        <v>24</v>
      </c>
      <c r="B32" s="143" t="e">
        <f>INDEX(Delibere!$A$12:$P$16,$A$26,5)</f>
        <v>#N/A</v>
      </c>
      <c r="N32" s="151">
        <v>8</v>
      </c>
      <c r="O32" s="134">
        <v>4.3</v>
      </c>
      <c r="P32" s="134">
        <v>3.8</v>
      </c>
      <c r="Q32" s="134">
        <v>3.25</v>
      </c>
      <c r="R32" s="134">
        <v>2.7</v>
      </c>
      <c r="S32" s="134">
        <v>1.8</v>
      </c>
    </row>
    <row r="33" spans="1:20">
      <c r="A33" s="147" t="s">
        <v>25</v>
      </c>
      <c r="B33" s="143" t="e">
        <f>INDEX(Delibere!$A$12:$P$16,$A$26,6)</f>
        <v>#N/A</v>
      </c>
      <c r="G33" s="152">
        <f>mc</f>
        <v>0</v>
      </c>
      <c r="H33" s="129">
        <f>Classe</f>
        <v>0</v>
      </c>
      <c r="N33" s="151">
        <v>4</v>
      </c>
      <c r="O33" s="134">
        <v>5.75</v>
      </c>
      <c r="P33" s="134">
        <v>5</v>
      </c>
      <c r="Q33" s="134">
        <v>4.3</v>
      </c>
      <c r="R33" s="134">
        <v>3.6</v>
      </c>
      <c r="S33" s="134">
        <v>2.4</v>
      </c>
    </row>
    <row r="34" spans="1:20">
      <c r="A34" s="147" t="s">
        <v>73</v>
      </c>
      <c r="B34" s="143" t="e">
        <f>INDEX(Delibere!$A$12:$P$16,$A$26,7)</f>
        <v>#N/A</v>
      </c>
      <c r="G34" s="143">
        <f>MATCH(mc,G21:G31,-1)</f>
        <v>11</v>
      </c>
      <c r="H34" s="143" t="e">
        <f>MATCH(Classe,H20:L20,0)</f>
        <v>#N/A</v>
      </c>
      <c r="I34" s="153" t="e">
        <f>INDEX(H21:L31,G34,H34)</f>
        <v>#N/A</v>
      </c>
      <c r="J34" s="145"/>
      <c r="N34" s="138"/>
      <c r="O34" s="138"/>
      <c r="P34" s="123"/>
    </row>
    <row r="35" spans="1:20">
      <c r="A35" s="147" t="s">
        <v>74</v>
      </c>
      <c r="B35" s="143" t="e">
        <f>INDEX(Delibere!$A$12:$P$16,$A$26,8)</f>
        <v>#N/A</v>
      </c>
      <c r="C35" s="143"/>
      <c r="N35" s="140">
        <f>Periodo</f>
        <v>0</v>
      </c>
      <c r="O35" s="141">
        <f>rapp</f>
        <v>0</v>
      </c>
      <c r="P35" s="165">
        <f>rapp-Delibere!D41</f>
        <v>-0.1</v>
      </c>
      <c r="Q35" s="166" t="s">
        <v>210</v>
      </c>
    </row>
    <row r="36" spans="1:20">
      <c r="A36" s="147" t="s">
        <v>26</v>
      </c>
      <c r="B36" s="148" t="e">
        <f>INDEX(Delibere!$A$12:$P$16,$A$26,9)</f>
        <v>#N/A</v>
      </c>
      <c r="N36" s="143">
        <f>MATCH(Periodo,N31:N33,-1)</f>
        <v>3</v>
      </c>
      <c r="O36" s="143">
        <f>MATCH((rapp-Delibere!D41),O30:S30,-1)</f>
        <v>5</v>
      </c>
      <c r="P36" s="144">
        <f>INDEX(O31:S33,N36,O36)</f>
        <v>2.4</v>
      </c>
      <c r="Q36" s="145"/>
      <c r="R36" s="145"/>
    </row>
    <row r="37" spans="1:20">
      <c r="A37" s="147" t="s">
        <v>27</v>
      </c>
      <c r="B37" s="148" t="e">
        <f>INDEX(Delibere!$A$12:$P$16,$A$26,10)</f>
        <v>#N/A</v>
      </c>
      <c r="O37" s="146"/>
      <c r="P37" s="146"/>
      <c r="Q37" s="146"/>
    </row>
    <row r="38" spans="1:20">
      <c r="A38" s="147" t="s">
        <v>75</v>
      </c>
      <c r="B38" s="154" t="e">
        <f>INDEX(Delibere!$A$12:$P$16,$A$26,11)</f>
        <v>#N/A</v>
      </c>
      <c r="G38" s="131"/>
      <c r="H38" s="605" t="s">
        <v>29</v>
      </c>
      <c r="I38" s="605"/>
      <c r="J38" s="605"/>
      <c r="K38" s="605"/>
      <c r="L38" s="605"/>
      <c r="N38" s="605" t="s">
        <v>103</v>
      </c>
      <c r="O38" s="605"/>
      <c r="P38" s="605"/>
      <c r="Q38" s="605"/>
      <c r="R38" s="605"/>
      <c r="S38" s="605"/>
    </row>
    <row r="39" spans="1:20">
      <c r="A39" s="147" t="s">
        <v>76</v>
      </c>
      <c r="B39" s="154" t="e">
        <f>INDEX(Delibere!$A$12:$W$16,$A$26,12)</f>
        <v>#N/A</v>
      </c>
      <c r="G39" s="155"/>
      <c r="H39" s="156" t="s">
        <v>65</v>
      </c>
      <c r="I39" s="122" t="s">
        <v>66</v>
      </c>
      <c r="J39" s="122" t="s">
        <v>67</v>
      </c>
      <c r="K39" s="122" t="s">
        <v>68</v>
      </c>
      <c r="L39" s="122" t="s">
        <v>69</v>
      </c>
      <c r="O39" s="125">
        <v>1000000</v>
      </c>
      <c r="P39" s="119">
        <v>3.5</v>
      </c>
      <c r="Q39" s="119">
        <v>3</v>
      </c>
      <c r="R39" s="128">
        <v>2.5</v>
      </c>
      <c r="S39" s="129">
        <v>2</v>
      </c>
    </row>
    <row r="40" spans="1:20">
      <c r="A40" s="147" t="s">
        <v>77</v>
      </c>
      <c r="B40" s="154" t="e">
        <f>INDEX(Delibere!$A$12:$W$16,$A$26,13)</f>
        <v>#N/A</v>
      </c>
      <c r="G40" s="119"/>
      <c r="H40" s="157">
        <v>5</v>
      </c>
      <c r="I40" s="157">
        <v>10</v>
      </c>
      <c r="J40" s="157">
        <v>15</v>
      </c>
      <c r="K40" s="157">
        <v>15</v>
      </c>
      <c r="L40" s="157">
        <f>Delibere!O$38</f>
        <v>0</v>
      </c>
      <c r="N40" s="129">
        <v>12</v>
      </c>
      <c r="O40" s="134">
        <v>2.1</v>
      </c>
      <c r="P40" s="134">
        <v>1.8</v>
      </c>
      <c r="Q40" s="134">
        <v>1.5</v>
      </c>
      <c r="R40" s="134">
        <v>1.2</v>
      </c>
      <c r="S40" s="134">
        <v>1</v>
      </c>
    </row>
    <row r="41" spans="1:20">
      <c r="A41" s="147" t="s">
        <v>78</v>
      </c>
      <c r="B41" s="154" t="e">
        <f>INDEX(Delibere!$A$12:$W$16,$A$26,14)</f>
        <v>#N/A</v>
      </c>
      <c r="G41" s="119"/>
      <c r="H41" s="157"/>
      <c r="I41" s="157"/>
      <c r="J41" s="157"/>
      <c r="K41" s="157"/>
      <c r="L41" s="157"/>
      <c r="N41" s="129">
        <v>8</v>
      </c>
      <c r="O41" s="134">
        <v>3.8</v>
      </c>
      <c r="P41" s="134">
        <v>3.25</v>
      </c>
      <c r="Q41" s="134">
        <v>2.7</v>
      </c>
      <c r="R41" s="134">
        <v>2.15</v>
      </c>
      <c r="S41" s="134">
        <v>1.8</v>
      </c>
    </row>
    <row r="42" spans="1:20">
      <c r="A42" s="147" t="s">
        <v>79</v>
      </c>
      <c r="B42" s="154" t="e">
        <f>INDEX(Delibere!$A$12:$W$16,$A$26,15)</f>
        <v>#N/A</v>
      </c>
      <c r="H42" s="141">
        <f>Classe</f>
        <v>0</v>
      </c>
      <c r="I42" s="142"/>
      <c r="J42" s="146"/>
      <c r="K42" s="146"/>
      <c r="L42" s="146"/>
      <c r="N42" s="129">
        <v>4</v>
      </c>
      <c r="O42" s="134">
        <v>5</v>
      </c>
      <c r="P42" s="134">
        <v>4.3</v>
      </c>
      <c r="Q42" s="134">
        <v>3.6</v>
      </c>
      <c r="R42" s="134">
        <v>2.9</v>
      </c>
      <c r="S42" s="134">
        <v>2.4</v>
      </c>
    </row>
    <row r="43" spans="1:20">
      <c r="A43" s="147" t="s">
        <v>80</v>
      </c>
      <c r="B43" s="154" t="e">
        <f>INDEX(Delibere!$A$12:$W$16,$A$26,16)</f>
        <v>#N/A</v>
      </c>
      <c r="G43" s="140"/>
      <c r="H43" s="143" t="e">
        <f>MATCH(Classe,H39:L39,0)</f>
        <v>#N/A</v>
      </c>
      <c r="I43" s="153" t="e">
        <f>INDEX(H40:L40,G44,H43)</f>
        <v>#N/A</v>
      </c>
      <c r="J43" s="146"/>
      <c r="K43" s="146"/>
      <c r="L43" s="146"/>
      <c r="N43" s="138"/>
      <c r="O43" s="138"/>
      <c r="P43" s="123"/>
    </row>
    <row r="44" spans="1:20">
      <c r="A44" s="147" t="s">
        <v>95</v>
      </c>
      <c r="B44" s="120" t="e">
        <f>Dati!I34</f>
        <v>#N/A</v>
      </c>
      <c r="G44" s="143"/>
      <c r="J44" s="146"/>
      <c r="K44" s="146"/>
      <c r="L44" s="146"/>
      <c r="N44" s="140">
        <f>Periodo</f>
        <v>0</v>
      </c>
      <c r="O44" s="141">
        <f>rapp</f>
        <v>0</v>
      </c>
      <c r="P44" s="165">
        <f>rapp-Delibere!D41</f>
        <v>-0.1</v>
      </c>
      <c r="Q44" s="166" t="s">
        <v>210</v>
      </c>
    </row>
    <row r="45" spans="1:20">
      <c r="A45" s="121" t="s">
        <v>104</v>
      </c>
      <c r="B45" s="102" t="e">
        <f>IF(OR(A26=2,A26=3,A26=5),C45,D45)</f>
        <v>#N/A</v>
      </c>
      <c r="C45" s="102" t="e">
        <f>IF(AND(OR(A26=2,A26=3,A26=5),cod&lt;=125,bod&lt;=25,sst&lt;=35),0,1)</f>
        <v>#N/A</v>
      </c>
      <c r="D45" s="102" t="e">
        <f>IF(AND(A26=4,cod&lt;=160,bod&lt;=40,sst&lt;=80),0,1)</f>
        <v>#N/A</v>
      </c>
      <c r="N45" s="143">
        <f>MATCH(Periodo,N40:N42,-1)</f>
        <v>3</v>
      </c>
      <c r="O45" s="143">
        <f>MATCH((rapp-Delibere!D41),O39:S39,-1)</f>
        <v>5</v>
      </c>
      <c r="P45" s="144">
        <f>INDEX(O40:S42,N45,O45)</f>
        <v>2.4</v>
      </c>
      <c r="Q45" s="145"/>
      <c r="R45" s="145"/>
    </row>
    <row r="46" spans="1:20">
      <c r="A46" s="121" t="s">
        <v>96</v>
      </c>
      <c r="B46" s="158" t="e">
        <f>IF(B35=TRUE,P36*B45,P27*B45)</f>
        <v>#N/A</v>
      </c>
    </row>
    <row r="47" spans="1:20">
      <c r="A47" s="121" t="s">
        <v>97</v>
      </c>
      <c r="B47" s="120" t="e">
        <f>Dati!I43</f>
        <v>#N/A</v>
      </c>
      <c r="G47" s="604" t="s">
        <v>109</v>
      </c>
      <c r="H47" s="604"/>
      <c r="I47" s="604"/>
      <c r="J47" s="604"/>
      <c r="K47" s="604"/>
      <c r="L47" s="604"/>
      <c r="M47" s="604"/>
      <c r="N47" s="604"/>
      <c r="O47" s="604"/>
      <c r="P47" s="604"/>
      <c r="Q47" s="604"/>
      <c r="S47" s="124" t="s">
        <v>106</v>
      </c>
      <c r="T47" s="124" t="s">
        <v>81</v>
      </c>
    </row>
    <row r="48" spans="1:20">
      <c r="A48" s="121" t="s">
        <v>98</v>
      </c>
      <c r="B48" s="103">
        <f>mc</f>
        <v>0</v>
      </c>
      <c r="G48" s="123" t="s">
        <v>63</v>
      </c>
      <c r="H48" s="159" t="s">
        <v>89</v>
      </c>
      <c r="I48" s="159" t="s">
        <v>60</v>
      </c>
      <c r="J48" s="159" t="s">
        <v>88</v>
      </c>
      <c r="K48" s="159" t="s">
        <v>87</v>
      </c>
      <c r="L48" s="159" t="s">
        <v>86</v>
      </c>
      <c r="M48" s="159" t="s">
        <v>59</v>
      </c>
      <c r="N48" s="132"/>
      <c r="O48" s="132"/>
      <c r="P48" s="132"/>
      <c r="Q48" s="118"/>
    </row>
    <row r="49" spans="1:22">
      <c r="A49" s="121" t="s">
        <v>11</v>
      </c>
      <c r="B49" s="103">
        <f>cod</f>
        <v>0</v>
      </c>
      <c r="G49" s="123" t="s">
        <v>64</v>
      </c>
      <c r="H49" s="159" t="s">
        <v>55</v>
      </c>
      <c r="I49" s="159" t="s">
        <v>71</v>
      </c>
      <c r="J49" s="159" t="s">
        <v>56</v>
      </c>
      <c r="K49" s="159" t="s">
        <v>57</v>
      </c>
      <c r="L49" s="159" t="s">
        <v>83</v>
      </c>
      <c r="M49" s="159" t="s">
        <v>58</v>
      </c>
      <c r="N49" s="159" t="s">
        <v>90</v>
      </c>
      <c r="O49" s="159" t="s">
        <v>84</v>
      </c>
      <c r="P49" s="159" t="s">
        <v>59</v>
      </c>
      <c r="Q49" s="118"/>
      <c r="S49" s="143">
        <v>1</v>
      </c>
      <c r="T49" s="119" t="s">
        <v>134</v>
      </c>
    </row>
    <row r="50" spans="1:22">
      <c r="A50" s="121" t="s">
        <v>12</v>
      </c>
      <c r="B50" s="103">
        <f>bod</f>
        <v>0</v>
      </c>
      <c r="G50" s="123" t="s">
        <v>54</v>
      </c>
      <c r="H50" s="159" t="s">
        <v>85</v>
      </c>
      <c r="I50" s="159" t="s">
        <v>84</v>
      </c>
      <c r="J50" s="159" t="s">
        <v>58</v>
      </c>
      <c r="K50" s="159" t="s">
        <v>59</v>
      </c>
      <c r="L50" s="132"/>
      <c r="M50" s="132"/>
      <c r="N50" s="132"/>
      <c r="O50" s="132"/>
      <c r="P50" s="132"/>
      <c r="Q50" s="117"/>
      <c r="S50" s="143">
        <v>2</v>
      </c>
      <c r="T50" s="119" t="s">
        <v>135</v>
      </c>
    </row>
    <row r="51" spans="1:22">
      <c r="A51" s="121" t="s">
        <v>99</v>
      </c>
      <c r="B51" s="103">
        <f>sst</f>
        <v>0</v>
      </c>
      <c r="G51" s="123" t="s">
        <v>53</v>
      </c>
      <c r="H51" s="159" t="s">
        <v>61</v>
      </c>
      <c r="I51" s="159" t="s">
        <v>62</v>
      </c>
      <c r="J51" s="160"/>
      <c r="K51" s="132"/>
      <c r="L51" s="132"/>
      <c r="M51" s="132"/>
      <c r="N51" s="132"/>
      <c r="O51" s="132"/>
      <c r="P51" s="132"/>
      <c r="Q51" s="118"/>
      <c r="S51" s="143">
        <v>3</v>
      </c>
      <c r="T51" s="119" t="s">
        <v>136</v>
      </c>
    </row>
    <row r="52" spans="1:22">
      <c r="A52" s="121" t="s">
        <v>100</v>
      </c>
      <c r="B52" s="161" t="str">
        <f>IF(OR($B$26=0,Comune="",Classe="",$D$20=""),"",IF(U*Coef_C&gt;=Umin,ROUND(U*Coef_C*B73,2),ROUND(Umin*B73,2)))</f>
        <v/>
      </c>
      <c r="C52" s="102" t="str">
        <f>IF(B52="","",IF(mc=0,0,B52/mc))</f>
        <v/>
      </c>
      <c r="G52" s="159"/>
      <c r="H52" s="118"/>
      <c r="I52" s="120"/>
      <c r="J52" s="120"/>
      <c r="K52" s="120"/>
      <c r="L52" s="120"/>
      <c r="M52" s="118"/>
      <c r="N52" s="118"/>
      <c r="O52" s="118"/>
      <c r="P52" s="118"/>
      <c r="Q52" s="118"/>
      <c r="S52" s="143">
        <v>4</v>
      </c>
      <c r="T52" s="119" t="s">
        <v>137</v>
      </c>
    </row>
    <row r="53" spans="1:22">
      <c r="A53" s="121" t="s">
        <v>101</v>
      </c>
      <c r="B53" s="161" t="str">
        <f>IF(OR($B$26=0,Comune="",$D$20=""),"",ROUND(mc*f2p*B74,2))</f>
        <v/>
      </c>
      <c r="C53" s="162" t="str">
        <f t="shared" ref="C53:C60" si="3">IF(B53="","",IF(mc=0,0,B53/mc))</f>
        <v/>
      </c>
      <c r="G53" s="159">
        <f>Consorzio</f>
        <v>0</v>
      </c>
      <c r="H53" s="102" t="str">
        <f>IF($B$26=0,"",INDEX(Dati!$G$48:$P$51,$G$54,2))</f>
        <v/>
      </c>
      <c r="I53" s="159" t="str">
        <f t="shared" ref="I53:I61" si="4">IF(H53&lt;&gt;0,H53,"-")</f>
        <v/>
      </c>
      <c r="J53" s="159"/>
      <c r="K53" s="159"/>
      <c r="L53" s="159"/>
      <c r="Q53" s="118"/>
      <c r="S53" s="143">
        <v>5</v>
      </c>
      <c r="T53" s="119" t="s">
        <v>138</v>
      </c>
    </row>
    <row r="54" spans="1:22">
      <c r="A54" s="121" t="s">
        <v>102</v>
      </c>
      <c r="B54" s="161" t="str">
        <f>IF(OR($B$26=0,$D$20=""),"",IF(B62&lt;B63,ROUND(((Km*B29)+B63-B62)*B73*mc,2),ROUND(mc*B29*Km*B73,2)))</f>
        <v/>
      </c>
      <c r="C54" s="102" t="str">
        <f t="shared" si="3"/>
        <v/>
      </c>
      <c r="G54" s="139" t="e">
        <f>MATCH(Consorzio,Dati!G48:G51,0)</f>
        <v>#N/A</v>
      </c>
      <c r="H54" s="102" t="str">
        <f>IF($B$26=0,"",INDEX(Dati!$G$48:$P$51,$G$54,3))</f>
        <v/>
      </c>
      <c r="I54" s="159" t="str">
        <f t="shared" si="4"/>
        <v/>
      </c>
      <c r="J54" s="159"/>
      <c r="K54" s="159"/>
      <c r="L54" s="159"/>
      <c r="Q54" s="118"/>
      <c r="S54" s="143">
        <v>6</v>
      </c>
      <c r="T54" s="121"/>
    </row>
    <row r="55" spans="1:22">
      <c r="A55" s="121" t="s">
        <v>187</v>
      </c>
      <c r="B55" s="161" t="str">
        <f>IF(OR($B$26=0,$D$20=""),"",SUM(B52:B54))</f>
        <v/>
      </c>
      <c r="C55" s="162" t="str">
        <f t="shared" si="3"/>
        <v/>
      </c>
      <c r="H55" s="102" t="str">
        <f>IF($B$26=0,"",INDEX(Dati!$G$48:$P$51,$G$54,4))</f>
        <v/>
      </c>
      <c r="I55" s="159" t="str">
        <f t="shared" si="4"/>
        <v/>
      </c>
      <c r="J55" s="159"/>
      <c r="K55" s="159"/>
      <c r="L55" s="159"/>
      <c r="Q55" s="118"/>
      <c r="S55" s="143">
        <v>7</v>
      </c>
    </row>
    <row r="56" spans="1:22">
      <c r="A56" s="121" t="s">
        <v>75</v>
      </c>
      <c r="B56" s="161" t="str">
        <f>IF(OR($B$26=0,$D$20=""),"",ROUND(mc*B38,2))</f>
        <v/>
      </c>
      <c r="C56" s="102" t="str">
        <f t="shared" si="3"/>
        <v/>
      </c>
      <c r="H56" s="102" t="str">
        <f>IF($B$26=0,"",INDEX(Dati!$G$48:$P$51,$G$54,5))</f>
        <v/>
      </c>
      <c r="I56" s="159" t="str">
        <f t="shared" si="4"/>
        <v/>
      </c>
      <c r="J56" s="159"/>
      <c r="K56" s="159"/>
      <c r="L56" s="159"/>
      <c r="M56" s="159"/>
      <c r="N56" s="159" t="str">
        <f t="shared" ref="N56:N62" si="5">IF(N55&lt;&gt;0,N55,"")</f>
        <v/>
      </c>
      <c r="S56" s="143">
        <v>8</v>
      </c>
      <c r="T56" s="119"/>
    </row>
    <row r="57" spans="1:22">
      <c r="A57" s="121" t="s">
        <v>183</v>
      </c>
      <c r="B57" s="161" t="str">
        <f>IF(OR($B$26=0,$D$20=""),"",IF(OR(mc=0,cod=0,bod=0),0,ROUND(CoefK*cod/Of*(db+Mdb+df+Mdf+(1/3*df))*mc,2)))</f>
        <v/>
      </c>
      <c r="C57" s="102" t="str">
        <f t="shared" si="3"/>
        <v/>
      </c>
      <c r="H57" s="102" t="str">
        <f>IF($B$26=0,"",INDEX(Dati!$G$48:$P$51,$G$54,6))</f>
        <v/>
      </c>
      <c r="I57" s="159" t="str">
        <f t="shared" si="4"/>
        <v/>
      </c>
      <c r="J57" s="159"/>
      <c r="K57" s="159"/>
      <c r="L57" s="159"/>
      <c r="M57" s="159"/>
      <c r="N57" s="159" t="str">
        <f t="shared" si="5"/>
        <v/>
      </c>
      <c r="S57" s="143">
        <v>9</v>
      </c>
      <c r="T57" s="119"/>
    </row>
    <row r="58" spans="1:22">
      <c r="A58" s="121" t="s">
        <v>105</v>
      </c>
      <c r="B58" s="161" t="str">
        <f>IF(OR($B$26=0,Classe="",$D$20=""),"",ROUND(((CoefM*(db+Mdb+df+Mdf)/100)+daN+da_3+da_4)*mc,2))</f>
        <v/>
      </c>
      <c r="C58" s="102" t="str">
        <f t="shared" si="3"/>
        <v/>
      </c>
      <c r="H58" s="102" t="str">
        <f>IF($B$26=0,"",INDEX(Dati!$G$48:$P$51,$G$54,7))</f>
        <v/>
      </c>
      <c r="I58" s="159" t="str">
        <f t="shared" si="4"/>
        <v/>
      </c>
      <c r="J58" s="159"/>
      <c r="K58" s="159"/>
      <c r="L58" s="159"/>
      <c r="M58" s="159"/>
      <c r="N58" s="159"/>
      <c r="S58" s="143">
        <v>10</v>
      </c>
      <c r="T58" s="119"/>
    </row>
    <row r="59" spans="1:22">
      <c r="A59" s="121" t="s">
        <v>184</v>
      </c>
      <c r="B59" s="161" t="str">
        <f>IF(OR($B$26=0,Classe="",$D$20="",),"",SUM(B56:B58)*B75)</f>
        <v/>
      </c>
      <c r="C59" s="102" t="str">
        <f t="shared" si="3"/>
        <v/>
      </c>
      <c r="H59" s="102" t="str">
        <f>IF($B$26=0,"",INDEX(Dati!$G$48:$P$51,$G$54,8))</f>
        <v/>
      </c>
      <c r="I59" s="159" t="str">
        <f t="shared" si="4"/>
        <v/>
      </c>
      <c r="J59" s="159"/>
      <c r="K59" s="159"/>
      <c r="L59" s="159"/>
      <c r="M59" s="159"/>
      <c r="N59" s="159" t="str">
        <f>IF(N57&lt;&gt;0,N57,"")</f>
        <v/>
      </c>
      <c r="S59" s="143">
        <v>11</v>
      </c>
    </row>
    <row r="60" spans="1:22">
      <c r="A60" s="121" t="s">
        <v>2</v>
      </c>
      <c r="B60" s="161" t="str">
        <f>IF(OR($B$26=0,$D$20="",Classe=""),"",B55+B59)</f>
        <v/>
      </c>
      <c r="C60" s="102" t="str">
        <f t="shared" si="3"/>
        <v/>
      </c>
      <c r="H60" s="102" t="str">
        <f>IF($B$26=0,"",INDEX(Dati!$G$48:$P$51,$G$54,9))</f>
        <v/>
      </c>
      <c r="I60" s="159" t="str">
        <f t="shared" si="4"/>
        <v/>
      </c>
      <c r="J60" s="159"/>
      <c r="K60" s="159"/>
      <c r="L60" s="159"/>
      <c r="M60" s="159"/>
      <c r="N60" s="159" t="str">
        <f t="shared" si="5"/>
        <v/>
      </c>
      <c r="Q60" s="118"/>
      <c r="S60" s="143">
        <v>12</v>
      </c>
    </row>
    <row r="61" spans="1:22">
      <c r="A61" s="121" t="str">
        <f>Delibere!$A$43&amp;" "&amp;Delibere!$B$43&amp;""</f>
        <v xml:space="preserve">Comp.Tarif. </v>
      </c>
      <c r="B61" s="230">
        <f>Delibere!$B$44+Delibere!$B$45+Delibere!$B$46+Delibere!$B$47</f>
        <v>3.49E-2</v>
      </c>
      <c r="C61" s="163" t="str">
        <f>IF(OR($B$26=0,$D$20="",Classe=""),"",ROUND((mc)*B61*2,2))</f>
        <v/>
      </c>
      <c r="D61" s="118" t="str">
        <f>IF(C61="","",IF(mc=0,0,C61/mc))</f>
        <v/>
      </c>
      <c r="H61" s="102" t="str">
        <f>IF($B$26=0,"",INDEX(Dati!$G$48:$P$51,$G$54,10))</f>
        <v/>
      </c>
      <c r="I61" s="159" t="str">
        <f t="shared" si="4"/>
        <v/>
      </c>
      <c r="J61" s="159"/>
      <c r="K61" s="159"/>
      <c r="L61" s="159"/>
      <c r="M61" s="159"/>
      <c r="N61" s="159" t="str">
        <f t="shared" si="5"/>
        <v/>
      </c>
      <c r="Q61" s="118"/>
    </row>
    <row r="62" spans="1:22">
      <c r="A62" s="121" t="s">
        <v>201</v>
      </c>
      <c r="B62" s="102" t="e">
        <f>IF(B68=3,0,ROUND(f2p+(f2s*Km),6))</f>
        <v>#N/A</v>
      </c>
      <c r="J62" s="159"/>
      <c r="K62" s="159"/>
      <c r="L62" s="159"/>
      <c r="M62" s="159"/>
      <c r="N62" s="159" t="str">
        <f t="shared" si="5"/>
        <v/>
      </c>
      <c r="S62" s="146"/>
    </row>
    <row r="63" spans="1:22">
      <c r="A63" s="121" t="s">
        <v>200</v>
      </c>
      <c r="B63" s="102" t="e">
        <f>IF(B68=3,0,INDEX(Delibere!$A$12:$Q$16,$A$26,17))</f>
        <v>#N/A</v>
      </c>
      <c r="G63" s="102">
        <f>Delibere!B39</f>
        <v>9</v>
      </c>
      <c r="J63" s="159"/>
      <c r="Q63" s="146"/>
      <c r="R63" s="146"/>
      <c r="S63" s="146"/>
      <c r="U63" s="102">
        <v>1000</v>
      </c>
      <c r="V63" s="102">
        <f>INT((U63 + 0.0000005) * 1000000) / 1000000</f>
        <v>1000</v>
      </c>
    </row>
    <row r="64" spans="1:22">
      <c r="A64" s="121" t="s">
        <v>2</v>
      </c>
      <c r="B64" s="161" t="str">
        <f>IF(OR($B$26=0,$D$20="",Classe=""),"",B60+C61)</f>
        <v/>
      </c>
      <c r="C64" s="163" t="str">
        <f>IF(B64="","",IF(mc=0,0,B64/mc))</f>
        <v/>
      </c>
      <c r="Q64" s="146"/>
      <c r="R64" s="146"/>
      <c r="S64" s="146"/>
    </row>
    <row r="65" spans="1:19">
      <c r="S65" s="146"/>
    </row>
    <row r="66" spans="1:19">
      <c r="A66" s="121" t="s">
        <v>114</v>
      </c>
      <c r="S66" s="146"/>
    </row>
    <row r="67" spans="1:19">
      <c r="A67" s="102">
        <f>Comune</f>
        <v>0</v>
      </c>
      <c r="S67" s="146"/>
    </row>
    <row r="68" spans="1:19">
      <c r="A68" s="102" t="e">
        <f>MATCH(Comune,Comuni,0)</f>
        <v>#N/A</v>
      </c>
      <c r="B68" s="102">
        <f>IF(ISNA(A68 ),0,A68)</f>
        <v>0</v>
      </c>
      <c r="S68" s="146"/>
    </row>
    <row r="69" spans="1:19">
      <c r="A69" s="121" t="s">
        <v>72</v>
      </c>
      <c r="B69" s="102" t="e">
        <f>INDEX(Delibere!$A$21:$D$37,A68,2)</f>
        <v>#N/A</v>
      </c>
      <c r="S69" s="146"/>
    </row>
    <row r="70" spans="1:19">
      <c r="A70" s="121" t="s">
        <v>115</v>
      </c>
      <c r="B70" s="102" t="e">
        <f>INDEX(Delibere!$A$21:$D$37,A68,3)</f>
        <v>#N/A</v>
      </c>
    </row>
    <row r="71" spans="1:19">
      <c r="A71" s="121" t="s">
        <v>116</v>
      </c>
      <c r="B71" s="102" t="e">
        <f>INDEX(Delibere!$A$21:$D$37,A68,4)</f>
        <v>#N/A</v>
      </c>
    </row>
    <row r="73" spans="1:19">
      <c r="A73" s="225" t="s">
        <v>245</v>
      </c>
      <c r="B73" s="102" t="e">
        <f>INDEX(Delibere!$M$21:$P$34,$B$4,2)</f>
        <v>#N/A</v>
      </c>
    </row>
    <row r="74" spans="1:19">
      <c r="A74" s="225" t="s">
        <v>246</v>
      </c>
      <c r="B74" s="102" t="e">
        <f>INDEX(Delibere!$M$21:$P34,$B$4,3)</f>
        <v>#N/A</v>
      </c>
    </row>
    <row r="75" spans="1:19">
      <c r="A75" s="225" t="s">
        <v>247</v>
      </c>
      <c r="B75" s="102" t="e">
        <f>INDEX(Delibere!$M$21:$P$34,$B$4,4)</f>
        <v>#N/A</v>
      </c>
    </row>
    <row r="76" spans="1:19">
      <c r="A76" s="121"/>
    </row>
    <row r="77" spans="1:19">
      <c r="A77" s="225" t="s">
        <v>248</v>
      </c>
      <c r="B77" s="118">
        <f>Delibere!B44</f>
        <v>4.0000000000000001E-3</v>
      </c>
    </row>
    <row r="78" spans="1:19">
      <c r="A78" s="225" t="s">
        <v>249</v>
      </c>
      <c r="B78" s="118">
        <f>Delibere!B45</f>
        <v>8.9999999999999993E-3</v>
      </c>
    </row>
    <row r="79" spans="1:19">
      <c r="A79" s="225" t="s">
        <v>619</v>
      </c>
      <c r="B79" s="118">
        <f>Delibere!B46</f>
        <v>1.7899999999999999E-2</v>
      </c>
    </row>
    <row r="80" spans="1:19">
      <c r="A80" s="225" t="s">
        <v>620</v>
      </c>
      <c r="B80" s="118">
        <f>Delibere!B47</f>
        <v>4.0000000000000001E-3</v>
      </c>
    </row>
    <row r="82" spans="1:8">
      <c r="A82" s="121" t="s">
        <v>180</v>
      </c>
      <c r="B82" s="102" t="str">
        <f>IF($B$26=0," ","f2''= "&amp;f2s&amp;" € km/mc  -  L= "&amp;Km&amp;" km  -  dv= "&amp;INT(dv*1000000)/1000000&amp;" €/mc"&amp;"  -  db= "&amp;db&amp;" €/mc")</f>
        <v xml:space="preserve"> </v>
      </c>
    </row>
    <row r="83" spans="1:8">
      <c r="A83" s="121" t="s">
        <v>181</v>
      </c>
      <c r="B83" s="102" t="str">
        <f>IF($B$26=0," ","df= "&amp;df&amp;" €/mc  -  Mdb= "&amp;Mdb&amp;" €/mc  -  "&amp;" Mdf= "&amp;Mdf&amp;" €/mc  -  daN= "&amp;daN&amp;" €/mc")</f>
        <v xml:space="preserve"> </v>
      </c>
    </row>
    <row r="84" spans="1:8">
      <c r="A84" s="121" t="s">
        <v>182</v>
      </c>
      <c r="B84" s="102" t="str">
        <f>IF($B$26=0," ",""&amp;"da3= "&amp;da_3&amp;" €/mc  -  da4= "&amp;da_4&amp;" €/mc  -  "&amp;"Of= "&amp;Of&amp; "  -  (termine f2 min.= "&amp;f2_minimo&amp;" €/mc)")</f>
        <v xml:space="preserve"> </v>
      </c>
    </row>
    <row r="85" spans="1:8">
      <c r="A85" s="121" t="s">
        <v>179</v>
      </c>
      <c r="B85" s="132" t="str">
        <f>""&amp;IF(OR($B$26=0,Comune=""),"",IF(B68=3,"Il Comune di Como emeterà la relativa tariffa per fisso di utenza e fognatura comunale","U= "&amp;U&amp;" €  -  f2'= "&amp;f2p&amp;" €/mc"))</f>
        <v/>
      </c>
    </row>
    <row r="86" spans="1:8">
      <c r="A86" s="121" t="s">
        <v>182</v>
      </c>
      <c r="B86" s="102" t="str">
        <f>""&amp;IF(OR($B$26=0,Classe=""),"","K= "&amp;IF(OR(mc=0,cod=0,bod=0),0,CoefK)&amp;"   -   C= "&amp;Coef_C&amp;"   -   M= "&amp;CoefM)</f>
        <v/>
      </c>
    </row>
    <row r="87" spans="1:8">
      <c r="A87" s="225" t="s">
        <v>250</v>
      </c>
      <c r="B87" s="102" t="str">
        <f>IF($B$26=0," ",""&amp;"UI1= "&amp;B77&amp;" €/mc  -  "&amp;"UI2= "&amp;B78&amp;" €/mc - "&amp;"UI3= "&amp;B79&amp;" €/mc - "&amp;"UI4= "&amp;B80&amp;" €/mc"&amp;" (per ogni servizio idrico fatturato)")</f>
        <v xml:space="preserve"> </v>
      </c>
    </row>
    <row r="88" spans="1:8">
      <c r="A88" s="225" t="s">
        <v>244</v>
      </c>
      <c r="B88" s="102" t="str">
        <f>IF($B$26=0," ",""&amp;"ϑcol= "&amp;B73&amp;"  -  ϑfog="&amp;B74&amp;"  -  "&amp;"ϑdep= "&amp;B75&amp;"")</f>
        <v xml:space="preserve"> </v>
      </c>
    </row>
    <row r="89" spans="1:8">
      <c r="A89" s="121"/>
    </row>
    <row r="90" spans="1:8">
      <c r="C90" s="159" t="str">
        <f>IF(I61&lt;&gt;0,I61,"")</f>
        <v/>
      </c>
      <c r="D90" s="159"/>
      <c r="E90" s="159" t="str">
        <f>IF(K62&lt;&gt;0,K62,"")</f>
        <v/>
      </c>
      <c r="F90" s="159" t="str">
        <f>IF(L62&lt;&gt;0,L62,"")</f>
        <v/>
      </c>
      <c r="G90" s="159" t="str">
        <f>IF(M62&lt;&gt;0,M62,"")</f>
        <v/>
      </c>
      <c r="H90" s="159" t="str">
        <f>IF(N62&lt;&gt;0,N62,"")</f>
        <v/>
      </c>
    </row>
    <row r="101" spans="1:18" ht="33.75" customHeight="1">
      <c r="A101" s="606" t="s">
        <v>229</v>
      </c>
      <c r="B101" s="606"/>
      <c r="C101" s="606"/>
      <c r="D101" s="606"/>
      <c r="E101" s="606"/>
      <c r="F101" s="606"/>
      <c r="G101" s="606"/>
      <c r="H101" s="606"/>
      <c r="I101" s="606"/>
      <c r="J101" s="606"/>
      <c r="K101" s="606"/>
      <c r="L101" s="606"/>
      <c r="M101" s="606"/>
      <c r="N101" s="606"/>
      <c r="O101" s="606"/>
      <c r="P101" s="606"/>
      <c r="Q101" s="606"/>
      <c r="R101" s="606"/>
    </row>
    <row r="103" spans="1:18" ht="18.75">
      <c r="A103" s="603" t="s">
        <v>204</v>
      </c>
      <c r="B103" s="603"/>
      <c r="C103" s="603"/>
      <c r="D103" s="603"/>
      <c r="E103" s="603"/>
      <c r="F103" s="603"/>
      <c r="G103" s="603"/>
      <c r="H103" s="603"/>
      <c r="I103" s="603"/>
      <c r="J103" s="603"/>
      <c r="K103" s="603"/>
      <c r="L103" s="603"/>
      <c r="M103" s="603"/>
      <c r="N103" s="603"/>
      <c r="O103" s="603"/>
      <c r="P103" s="603"/>
      <c r="Q103" s="603"/>
      <c r="R103" s="603"/>
    </row>
  </sheetData>
  <dataConsolidate/>
  <mergeCells count="8">
    <mergeCell ref="A103:R103"/>
    <mergeCell ref="G47:Q47"/>
    <mergeCell ref="G19:L19"/>
    <mergeCell ref="N38:S38"/>
    <mergeCell ref="N20:S20"/>
    <mergeCell ref="N29:S29"/>
    <mergeCell ref="H38:L38"/>
    <mergeCell ref="A101:R101"/>
  </mergeCells>
  <phoneticPr fontId="8" type="noConversion"/>
  <pageMargins left="0.75" right="0.75" top="1" bottom="1" header="0.5" footer="0.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9:AM78"/>
  <sheetViews>
    <sheetView workbookViewId="0">
      <selection activeCell="S31" sqref="S31"/>
    </sheetView>
  </sheetViews>
  <sheetFormatPr defaultColWidth="9.140625" defaultRowHeight="11.25"/>
  <cols>
    <col min="1" max="1" width="11.5703125" style="170" customWidth="1"/>
    <col min="2" max="2" width="9.140625" style="170"/>
    <col min="3" max="3" width="7.85546875" style="170" bestFit="1" customWidth="1"/>
    <col min="4" max="4" width="8.7109375" style="170" bestFit="1" customWidth="1"/>
    <col min="5" max="5" width="2.5703125" style="170" bestFit="1" customWidth="1"/>
    <col min="6" max="7" width="3.5703125" style="170" bestFit="1" customWidth="1"/>
    <col min="8" max="8" width="6" style="170" bestFit="1" customWidth="1"/>
    <col min="9" max="9" width="7.42578125" style="170" customWidth="1"/>
    <col min="10" max="11" width="7.42578125" style="170" bestFit="1" customWidth="1"/>
    <col min="12" max="13" width="7.42578125" style="170" customWidth="1"/>
    <col min="14" max="14" width="7.7109375" style="170" customWidth="1"/>
    <col min="15" max="16" width="7.5703125" style="170" customWidth="1"/>
    <col min="17" max="18" width="7.42578125" style="170" customWidth="1"/>
    <col min="19" max="21" width="10" style="170" customWidth="1"/>
    <col min="22" max="22" width="7.85546875" style="170" customWidth="1"/>
    <col min="23" max="23" width="8.28515625" style="170" bestFit="1" customWidth="1"/>
    <col min="24" max="25" width="9.28515625" style="170" bestFit="1" customWidth="1"/>
    <col min="26" max="16384" width="9.140625" style="170"/>
  </cols>
  <sheetData>
    <row r="9" spans="1:39">
      <c r="B9" s="223"/>
      <c r="C9" s="223"/>
      <c r="D9" s="223"/>
    </row>
    <row r="10" spans="1:39">
      <c r="V10" s="542" t="s">
        <v>627</v>
      </c>
    </row>
    <row r="11" spans="1:39">
      <c r="A11" s="169" t="s">
        <v>214</v>
      </c>
      <c r="E11" s="607" t="str">
        <f>"Coefficienti anno "&amp;A61</f>
        <v>Coefficienti anno (dal 2016)</v>
      </c>
      <c r="F11" s="607"/>
      <c r="G11" s="607"/>
      <c r="H11" s="607"/>
      <c r="I11" s="607"/>
    </row>
    <row r="12" spans="1:39">
      <c r="A12" s="171" t="s">
        <v>215</v>
      </c>
      <c r="B12" s="222" t="s">
        <v>254</v>
      </c>
      <c r="C12" s="172" t="s">
        <v>22</v>
      </c>
      <c r="D12" s="172" t="s">
        <v>23</v>
      </c>
      <c r="E12" s="172" t="s">
        <v>24</v>
      </c>
      <c r="F12" s="172" t="s">
        <v>25</v>
      </c>
      <c r="G12" s="172" t="s">
        <v>73</v>
      </c>
      <c r="H12" s="172" t="s">
        <v>216</v>
      </c>
      <c r="I12" s="172" t="s">
        <v>26</v>
      </c>
      <c r="J12" s="172" t="s">
        <v>27</v>
      </c>
      <c r="K12" s="172" t="s">
        <v>217</v>
      </c>
      <c r="L12" s="172" t="s">
        <v>218</v>
      </c>
      <c r="M12" s="172" t="s">
        <v>219</v>
      </c>
      <c r="N12" s="172" t="s">
        <v>220</v>
      </c>
      <c r="O12" s="172" t="s">
        <v>221</v>
      </c>
      <c r="P12" s="172" t="s">
        <v>222</v>
      </c>
      <c r="Q12" s="172" t="s">
        <v>223</v>
      </c>
      <c r="R12" s="172"/>
      <c r="V12" s="539" t="s">
        <v>215</v>
      </c>
      <c r="W12" s="540" t="s">
        <v>254</v>
      </c>
      <c r="X12" s="540" t="s">
        <v>22</v>
      </c>
      <c r="Y12" s="540" t="s">
        <v>23</v>
      </c>
      <c r="Z12" s="540" t="s">
        <v>24</v>
      </c>
      <c r="AA12" s="540" t="s">
        <v>25</v>
      </c>
      <c r="AB12" s="540" t="s">
        <v>73</v>
      </c>
      <c r="AC12" s="540" t="s">
        <v>216</v>
      </c>
      <c r="AD12" s="540" t="s">
        <v>26</v>
      </c>
      <c r="AE12" s="540" t="s">
        <v>27</v>
      </c>
      <c r="AF12" s="540" t="s">
        <v>217</v>
      </c>
      <c r="AG12" s="540" t="s">
        <v>218</v>
      </c>
      <c r="AH12" s="540" t="s">
        <v>219</v>
      </c>
      <c r="AI12" s="540" t="s">
        <v>220</v>
      </c>
      <c r="AJ12" s="540" t="s">
        <v>221</v>
      </c>
      <c r="AK12" s="540" t="s">
        <v>222</v>
      </c>
      <c r="AL12" s="540" t="s">
        <v>223</v>
      </c>
      <c r="AM12" s="540"/>
    </row>
    <row r="13" spans="1:39">
      <c r="A13" s="217" t="s">
        <v>63</v>
      </c>
      <c r="B13" s="170">
        <v>8.0619999999999997E-3</v>
      </c>
      <c r="C13" s="173">
        <v>8</v>
      </c>
      <c r="D13" s="174">
        <v>510</v>
      </c>
      <c r="E13" s="175">
        <v>0</v>
      </c>
      <c r="F13" s="175">
        <v>0</v>
      </c>
      <c r="G13" s="175">
        <v>0</v>
      </c>
      <c r="H13" s="176" t="b">
        <v>1</v>
      </c>
      <c r="I13" s="177">
        <v>1.6704E-2</v>
      </c>
      <c r="J13" s="177">
        <v>2.5815000000000001E-2</v>
      </c>
      <c r="K13" s="177">
        <v>8.0374000000000001E-2</v>
      </c>
      <c r="L13" s="177">
        <v>9.3046000000000004E-2</v>
      </c>
      <c r="M13" s="177">
        <v>5.2963999999999997E-2</v>
      </c>
      <c r="N13" s="178">
        <v>2.8406000000000001E-2</v>
      </c>
      <c r="O13" s="178">
        <v>6.6838999999999996E-2</v>
      </c>
      <c r="P13" s="178">
        <v>7.5749999999999998E-2</v>
      </c>
      <c r="Q13" s="177">
        <v>9.2993999999999993E-2</v>
      </c>
      <c r="R13" s="177"/>
      <c r="V13" s="541" t="s">
        <v>63</v>
      </c>
      <c r="W13" s="542">
        <v>8.0619999999999997E-3</v>
      </c>
      <c r="X13" s="543">
        <v>8</v>
      </c>
      <c r="Y13" s="544">
        <v>510</v>
      </c>
      <c r="Z13" s="545">
        <v>0</v>
      </c>
      <c r="AA13" s="545">
        <v>0</v>
      </c>
      <c r="AB13" s="545">
        <v>0</v>
      </c>
      <c r="AC13" s="546" t="b">
        <v>1</v>
      </c>
      <c r="AD13" s="547">
        <v>1.6704E-2</v>
      </c>
      <c r="AE13" s="547">
        <v>2.5815000000000001E-2</v>
      </c>
      <c r="AF13" s="547">
        <v>8.0374000000000001E-2</v>
      </c>
      <c r="AG13" s="547">
        <v>9.3046000000000004E-2</v>
      </c>
      <c r="AH13" s="547">
        <v>5.2963999999999997E-2</v>
      </c>
      <c r="AI13" s="547">
        <v>2.8406000000000001E-2</v>
      </c>
      <c r="AJ13" s="547">
        <v>6.6838999999999996E-2</v>
      </c>
      <c r="AK13" s="547">
        <v>7.5749999999999998E-2</v>
      </c>
      <c r="AL13" s="547">
        <v>9.2993999999999993E-2</v>
      </c>
      <c r="AM13" s="547"/>
    </row>
    <row r="14" spans="1:39">
      <c r="A14" s="237" t="s">
        <v>64</v>
      </c>
      <c r="B14" s="238">
        <v>1.0929365999999999E-2</v>
      </c>
      <c r="C14" s="239">
        <v>8</v>
      </c>
      <c r="D14" s="240">
        <v>390</v>
      </c>
      <c r="E14" s="241">
        <v>0</v>
      </c>
      <c r="F14" s="241">
        <v>0</v>
      </c>
      <c r="G14" s="241">
        <v>0</v>
      </c>
      <c r="H14" s="242" t="b">
        <v>1</v>
      </c>
      <c r="I14" s="243">
        <v>2.2643972999999998E-2</v>
      </c>
      <c r="J14" s="243">
        <v>3.4995231000000002E-2</v>
      </c>
      <c r="K14" s="243">
        <v>0.108955332</v>
      </c>
      <c r="L14" s="243">
        <v>0.12613347900000002</v>
      </c>
      <c r="M14" s="243">
        <v>7.179754499999999E-2</v>
      </c>
      <c r="N14" s="244">
        <v>3.8507670000000001E-2</v>
      </c>
      <c r="O14" s="244">
        <v>9.0606752999999998E-2</v>
      </c>
      <c r="P14" s="244">
        <v>0.10570692599999999</v>
      </c>
      <c r="Q14" s="243">
        <v>0.12606261299999999</v>
      </c>
      <c r="R14" s="177"/>
      <c r="V14" s="548" t="s">
        <v>64</v>
      </c>
      <c r="W14" s="549">
        <v>9.5619999999999993E-3</v>
      </c>
      <c r="X14" s="550">
        <v>8</v>
      </c>
      <c r="Y14" s="551">
        <v>390</v>
      </c>
      <c r="Z14" s="552">
        <v>0</v>
      </c>
      <c r="AA14" s="552">
        <v>0</v>
      </c>
      <c r="AB14" s="552">
        <v>0</v>
      </c>
      <c r="AC14" s="553" t="b">
        <v>1</v>
      </c>
      <c r="AD14" s="554">
        <v>1.9810999999999999E-2</v>
      </c>
      <c r="AE14" s="554">
        <v>3.0616999999999998E-2</v>
      </c>
      <c r="AF14" s="554">
        <v>9.5324000000000006E-2</v>
      </c>
      <c r="AG14" s="554">
        <v>0.11035300000000001</v>
      </c>
      <c r="AH14" s="554">
        <v>6.2814999999999996E-2</v>
      </c>
      <c r="AI14" s="554">
        <v>3.3689999999999998E-2</v>
      </c>
      <c r="AJ14" s="554">
        <v>7.9270999999999994E-2</v>
      </c>
      <c r="AK14" s="554">
        <v>9.2481999999999995E-2</v>
      </c>
      <c r="AL14" s="554">
        <v>0.110291</v>
      </c>
      <c r="AM14" s="547"/>
    </row>
    <row r="15" spans="1:39" s="169" customFormat="1">
      <c r="A15" s="237" t="s">
        <v>54</v>
      </c>
      <c r="B15" s="238">
        <v>1.5615666E-2</v>
      </c>
      <c r="C15" s="239">
        <v>3</v>
      </c>
      <c r="D15" s="240">
        <v>480</v>
      </c>
      <c r="E15" s="241">
        <v>0</v>
      </c>
      <c r="F15" s="241">
        <v>0</v>
      </c>
      <c r="G15" s="241">
        <v>0</v>
      </c>
      <c r="H15" s="242" t="b">
        <v>1</v>
      </c>
      <c r="I15" s="243">
        <v>2.2643972999999998E-2</v>
      </c>
      <c r="J15" s="243">
        <v>3.4995231000000002E-2</v>
      </c>
      <c r="K15" s="243">
        <v>0.12059678700000001</v>
      </c>
      <c r="L15" s="243">
        <v>0.164942901</v>
      </c>
      <c r="M15" s="243">
        <v>6.2096904000000001E-2</v>
      </c>
      <c r="N15" s="244">
        <v>3.8507670000000001E-2</v>
      </c>
      <c r="O15" s="244">
        <v>8.8340184000000002E-2</v>
      </c>
      <c r="P15" s="244">
        <v>0.10419702300000001</v>
      </c>
      <c r="Q15" s="243">
        <v>0.12606261299999999</v>
      </c>
      <c r="R15" s="177"/>
      <c r="V15" s="548" t="s">
        <v>54</v>
      </c>
      <c r="W15" s="549">
        <v>1.3662000000000001E-2</v>
      </c>
      <c r="X15" s="550">
        <v>3</v>
      </c>
      <c r="Y15" s="551">
        <v>480</v>
      </c>
      <c r="Z15" s="552">
        <v>0</v>
      </c>
      <c r="AA15" s="552">
        <v>0</v>
      </c>
      <c r="AB15" s="552">
        <v>0</v>
      </c>
      <c r="AC15" s="553" t="b">
        <v>1</v>
      </c>
      <c r="AD15" s="554">
        <v>1.9810999999999999E-2</v>
      </c>
      <c r="AE15" s="554">
        <v>3.0616999999999998E-2</v>
      </c>
      <c r="AF15" s="554">
        <v>0.10550900000000001</v>
      </c>
      <c r="AG15" s="554">
        <v>0.14430699999999999</v>
      </c>
      <c r="AH15" s="554">
        <v>5.4328000000000001E-2</v>
      </c>
      <c r="AI15" s="554">
        <v>3.3689999999999998E-2</v>
      </c>
      <c r="AJ15" s="554">
        <v>7.7287999999999996E-2</v>
      </c>
      <c r="AK15" s="554">
        <v>9.1161000000000006E-2</v>
      </c>
      <c r="AL15" s="554">
        <v>0.110291</v>
      </c>
      <c r="AM15" s="547"/>
    </row>
    <row r="16" spans="1:39">
      <c r="A16" s="217" t="s">
        <v>53</v>
      </c>
      <c r="B16" s="170">
        <v>1.6123999999999999E-2</v>
      </c>
      <c r="C16" s="173">
        <v>3.5</v>
      </c>
      <c r="D16" s="179">
        <v>510</v>
      </c>
      <c r="E16" s="175">
        <v>0</v>
      </c>
      <c r="F16" s="175">
        <v>0</v>
      </c>
      <c r="G16" s="175">
        <v>0</v>
      </c>
      <c r="H16" s="176" t="b">
        <v>1</v>
      </c>
      <c r="I16" s="177">
        <v>1.6704E-2</v>
      </c>
      <c r="J16" s="177">
        <v>2.5815000000000001E-2</v>
      </c>
      <c r="K16" s="177">
        <v>8.0374000000000001E-2</v>
      </c>
      <c r="L16" s="177">
        <v>9.3046000000000004E-2</v>
      </c>
      <c r="M16" s="177">
        <v>5.2963999999999997E-2</v>
      </c>
      <c r="N16" s="178">
        <v>2.8406000000000001E-2</v>
      </c>
      <c r="O16" s="178">
        <v>6.6838999999999996E-2</v>
      </c>
      <c r="P16" s="178">
        <v>7.5749999999999998E-2</v>
      </c>
      <c r="Q16" s="177">
        <v>9.2993999999999993E-2</v>
      </c>
      <c r="R16" s="177"/>
      <c r="V16" s="541" t="s">
        <v>53</v>
      </c>
      <c r="W16" s="542">
        <v>1.6123999999999999E-2</v>
      </c>
      <c r="X16" s="543">
        <v>3.5</v>
      </c>
      <c r="Y16" s="555">
        <v>510</v>
      </c>
      <c r="Z16" s="545">
        <v>0</v>
      </c>
      <c r="AA16" s="545">
        <v>0</v>
      </c>
      <c r="AB16" s="545">
        <v>0</v>
      </c>
      <c r="AC16" s="546" t="b">
        <v>1</v>
      </c>
      <c r="AD16" s="547">
        <v>1.6704E-2</v>
      </c>
      <c r="AE16" s="547">
        <v>2.5815000000000001E-2</v>
      </c>
      <c r="AF16" s="547">
        <v>8.0374000000000001E-2</v>
      </c>
      <c r="AG16" s="547">
        <v>9.3046000000000004E-2</v>
      </c>
      <c r="AH16" s="547">
        <v>5.2963999999999997E-2</v>
      </c>
      <c r="AI16" s="547">
        <v>2.8406000000000001E-2</v>
      </c>
      <c r="AJ16" s="547">
        <v>6.6838999999999996E-2</v>
      </c>
      <c r="AK16" s="547">
        <v>7.5749999999999998E-2</v>
      </c>
      <c r="AL16" s="547">
        <v>9.2993999999999993E-2</v>
      </c>
      <c r="AM16" s="547"/>
    </row>
    <row r="18" spans="1:32">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row>
    <row r="19" spans="1:32">
      <c r="A19" s="169" t="s">
        <v>224</v>
      </c>
      <c r="H19" s="181"/>
      <c r="K19" s="177"/>
      <c r="W19" s="182"/>
      <c r="X19" s="183"/>
      <c r="Y19" s="183"/>
      <c r="Z19" s="183"/>
      <c r="AA19" s="183"/>
      <c r="AB19" s="183"/>
      <c r="AC19" s="183"/>
      <c r="AD19" s="183"/>
      <c r="AE19" s="183"/>
      <c r="AF19" s="183"/>
    </row>
    <row r="20" spans="1:32">
      <c r="A20" s="184" t="s">
        <v>225</v>
      </c>
      <c r="B20" s="185" t="s">
        <v>72</v>
      </c>
      <c r="C20" s="185" t="s">
        <v>226</v>
      </c>
      <c r="D20" s="185" t="s">
        <v>227</v>
      </c>
      <c r="H20" s="186"/>
      <c r="J20" s="187"/>
      <c r="K20" s="354" t="s">
        <v>413</v>
      </c>
      <c r="L20" s="187"/>
      <c r="M20" s="219" t="s">
        <v>256</v>
      </c>
      <c r="N20" s="222" t="s">
        <v>463</v>
      </c>
      <c r="O20" s="222" t="s">
        <v>462</v>
      </c>
      <c r="P20" s="222" t="s">
        <v>464</v>
      </c>
      <c r="Q20" s="180"/>
      <c r="R20" s="180"/>
      <c r="S20" s="180"/>
      <c r="T20" s="180"/>
      <c r="U20" s="180"/>
      <c r="V20" s="556" t="s">
        <v>225</v>
      </c>
      <c r="W20" s="557" t="s">
        <v>72</v>
      </c>
      <c r="X20" s="557" t="s">
        <v>226</v>
      </c>
      <c r="Y20" s="557" t="s">
        <v>227</v>
      </c>
      <c r="AA20" s="542" t="s">
        <v>256</v>
      </c>
      <c r="AB20" s="540" t="s">
        <v>623</v>
      </c>
      <c r="AC20" s="540" t="s">
        <v>624</v>
      </c>
      <c r="AD20" s="540" t="s">
        <v>625</v>
      </c>
    </row>
    <row r="21" spans="1:32">
      <c r="A21" s="188" t="s">
        <v>55</v>
      </c>
      <c r="B21" s="246">
        <v>13.33005462</v>
      </c>
      <c r="C21" s="247">
        <v>5.3769006000000001E-2</v>
      </c>
      <c r="D21" s="246">
        <v>35.005403700000002</v>
      </c>
      <c r="H21" s="181"/>
      <c r="J21" s="189"/>
      <c r="K21" s="189">
        <v>1</v>
      </c>
      <c r="L21" s="189"/>
      <c r="M21" s="170">
        <v>2017</v>
      </c>
      <c r="N21" s="537">
        <f>1.089/1.143</f>
        <v>0.952755905511811</v>
      </c>
      <c r="O21" s="537">
        <f t="shared" ref="O21:P21" si="0">1.089/1.143</f>
        <v>0.952755905511811</v>
      </c>
      <c r="P21" s="537">
        <f t="shared" si="0"/>
        <v>0.952755905511811</v>
      </c>
      <c r="Q21" s="391"/>
      <c r="R21" s="538" t="s">
        <v>622</v>
      </c>
      <c r="S21" s="190"/>
      <c r="T21" s="190"/>
      <c r="U21" s="190"/>
      <c r="V21" s="558" t="s">
        <v>55</v>
      </c>
      <c r="W21" s="559">
        <v>11.662340054</v>
      </c>
      <c r="X21" s="560">
        <v>4.7041503999999998E-2</v>
      </c>
      <c r="Y21" s="559">
        <v>30.625900099999999</v>
      </c>
      <c r="AA21" s="542">
        <v>2017</v>
      </c>
      <c r="AB21" s="554">
        <v>1.089</v>
      </c>
      <c r="AC21" s="554">
        <v>1.089</v>
      </c>
      <c r="AD21" s="554">
        <v>1.089</v>
      </c>
    </row>
    <row r="22" spans="1:32">
      <c r="A22" s="188" t="s">
        <v>71</v>
      </c>
      <c r="B22" s="246">
        <v>13.33005462</v>
      </c>
      <c r="C22" s="247">
        <v>5.3769006000000001E-2</v>
      </c>
      <c r="D22" s="246">
        <v>35.005403700000002</v>
      </c>
      <c r="H22" s="181"/>
      <c r="J22" s="191"/>
      <c r="K22" s="191">
        <v>2</v>
      </c>
      <c r="L22" s="191"/>
      <c r="M22" s="170">
        <v>2018</v>
      </c>
      <c r="N22" s="537">
        <f>1.113/1.143</f>
        <v>0.97375328083989499</v>
      </c>
      <c r="O22" s="537">
        <f t="shared" ref="O22:P22" si="1">1.113/1.143</f>
        <v>0.97375328083989499</v>
      </c>
      <c r="P22" s="537">
        <f t="shared" si="1"/>
        <v>0.97375328083989499</v>
      </c>
      <c r="Q22" s="392"/>
      <c r="R22" s="538" t="s">
        <v>622</v>
      </c>
      <c r="S22" s="192"/>
      <c r="T22" s="192"/>
      <c r="U22" s="192"/>
      <c r="V22" s="558" t="s">
        <v>71</v>
      </c>
      <c r="W22" s="559">
        <v>11.662340054</v>
      </c>
      <c r="X22" s="560">
        <v>4.7041503999999998E-2</v>
      </c>
      <c r="Y22" s="559">
        <v>30.625900099999999</v>
      </c>
      <c r="AA22" s="542">
        <v>2018</v>
      </c>
      <c r="AB22" s="554">
        <v>1.113</v>
      </c>
      <c r="AC22" s="554">
        <v>1.113</v>
      </c>
      <c r="AD22" s="554">
        <v>1.113</v>
      </c>
    </row>
    <row r="23" spans="1:32">
      <c r="A23" s="188" t="s">
        <v>56</v>
      </c>
      <c r="B23" s="247">
        <v>0</v>
      </c>
      <c r="C23" s="247">
        <v>0</v>
      </c>
      <c r="D23" s="246">
        <v>0</v>
      </c>
      <c r="H23" s="180"/>
      <c r="J23" s="191"/>
      <c r="K23" s="189">
        <v>3</v>
      </c>
      <c r="L23" s="191"/>
      <c r="M23" s="170">
        <v>2019</v>
      </c>
      <c r="N23" s="537">
        <f>1.43/1.43</f>
        <v>1</v>
      </c>
      <c r="O23" s="537">
        <f t="shared" ref="O23:P23" si="2">1.43/1.43</f>
        <v>1</v>
      </c>
      <c r="P23" s="537">
        <f t="shared" si="2"/>
        <v>1</v>
      </c>
      <c r="Q23" s="391"/>
      <c r="R23" s="538" t="s">
        <v>622</v>
      </c>
      <c r="S23" s="192"/>
      <c r="T23" s="192"/>
      <c r="U23" s="192"/>
      <c r="V23" s="558" t="s">
        <v>56</v>
      </c>
      <c r="W23" s="560">
        <v>0</v>
      </c>
      <c r="X23" s="560">
        <v>0</v>
      </c>
      <c r="Y23" s="559">
        <v>0</v>
      </c>
      <c r="AA23" s="542">
        <v>2019</v>
      </c>
      <c r="AB23" s="554">
        <v>1.143</v>
      </c>
      <c r="AC23" s="554">
        <v>1.143</v>
      </c>
      <c r="AD23" s="554">
        <v>1.143</v>
      </c>
    </row>
    <row r="24" spans="1:32">
      <c r="A24" s="188" t="s">
        <v>57</v>
      </c>
      <c r="B24" s="246">
        <v>11.086209603</v>
      </c>
      <c r="C24" s="246">
        <v>4.5507402000000002E-2</v>
      </c>
      <c r="D24" s="246">
        <v>35.005403700000002</v>
      </c>
      <c r="H24" s="180"/>
      <c r="J24" s="187"/>
      <c r="K24" s="191">
        <v>4</v>
      </c>
      <c r="L24" s="187"/>
      <c r="M24" s="170">
        <v>2020</v>
      </c>
      <c r="N24" s="245">
        <v>1</v>
      </c>
      <c r="O24" s="245">
        <v>1</v>
      </c>
      <c r="P24" s="245">
        <v>1</v>
      </c>
      <c r="Q24" s="392"/>
      <c r="R24" s="192"/>
      <c r="S24" s="192"/>
      <c r="T24" s="192"/>
      <c r="U24" s="192"/>
      <c r="V24" s="558" t="s">
        <v>57</v>
      </c>
      <c r="W24" s="559">
        <v>9.6992206700000008</v>
      </c>
      <c r="X24" s="559">
        <v>3.9814019999999999E-2</v>
      </c>
      <c r="Y24" s="559">
        <v>30.625900099999999</v>
      </c>
      <c r="AA24" s="542">
        <v>2020</v>
      </c>
      <c r="AB24" s="554">
        <v>1.143</v>
      </c>
      <c r="AC24" s="554">
        <v>1.143</v>
      </c>
      <c r="AD24" s="554">
        <v>1.143</v>
      </c>
    </row>
    <row r="25" spans="1:32">
      <c r="A25" s="188" t="s">
        <v>83</v>
      </c>
      <c r="B25" s="246">
        <v>12.54523653</v>
      </c>
      <c r="C25" s="247">
        <v>6.3358776000000006E-2</v>
      </c>
      <c r="D25" s="246">
        <v>35.005403700000002</v>
      </c>
      <c r="H25" s="180"/>
      <c r="K25" s="189">
        <v>5</v>
      </c>
      <c r="L25" s="174"/>
      <c r="M25" s="170">
        <v>2021</v>
      </c>
      <c r="N25" s="245">
        <v>1.01</v>
      </c>
      <c r="O25" s="245">
        <v>1.01</v>
      </c>
      <c r="P25" s="245">
        <v>1.01</v>
      </c>
      <c r="Q25" s="391"/>
      <c r="V25" s="558" t="s">
        <v>83</v>
      </c>
      <c r="W25" s="559">
        <v>10.975707726</v>
      </c>
      <c r="X25" s="560">
        <v>5.5432453999999999E-2</v>
      </c>
      <c r="Y25" s="559">
        <v>30.625900099999999</v>
      </c>
      <c r="AA25" s="542">
        <v>2021</v>
      </c>
      <c r="AB25" s="554">
        <v>1.143</v>
      </c>
      <c r="AC25" s="554">
        <v>1.143</v>
      </c>
      <c r="AD25" s="554">
        <v>1.143</v>
      </c>
    </row>
    <row r="26" spans="1:32">
      <c r="A26" s="188" t="s">
        <v>58</v>
      </c>
      <c r="B26" s="246">
        <v>21.542326740000004</v>
      </c>
      <c r="C26" s="247">
        <v>4.8307752000000002E-2</v>
      </c>
      <c r="D26" s="246">
        <v>35.005403700000002</v>
      </c>
      <c r="H26" s="180"/>
      <c r="J26" s="195"/>
      <c r="K26" s="191">
        <v>6</v>
      </c>
      <c r="L26" s="196"/>
      <c r="M26" s="170">
        <v>2022</v>
      </c>
      <c r="N26" s="245">
        <v>1.095</v>
      </c>
      <c r="O26" s="245">
        <v>1.095</v>
      </c>
      <c r="P26" s="245">
        <v>1.095</v>
      </c>
      <c r="Q26" s="392"/>
      <c r="V26" s="558" t="s">
        <v>58</v>
      </c>
      <c r="W26" s="559">
        <v>18.84717668</v>
      </c>
      <c r="X26" s="560">
        <v>4.2264296E-2</v>
      </c>
      <c r="Y26" s="559">
        <v>30.625900099999999</v>
      </c>
      <c r="AA26" s="542">
        <v>2022</v>
      </c>
      <c r="AB26" s="554">
        <v>1.143</v>
      </c>
      <c r="AC26" s="554">
        <v>1.143</v>
      </c>
      <c r="AD26" s="554">
        <v>1.143</v>
      </c>
    </row>
    <row r="27" spans="1:32">
      <c r="A27" s="188" t="s">
        <v>90</v>
      </c>
      <c r="B27" s="246">
        <v>27.979108380000003</v>
      </c>
      <c r="C27" s="246">
        <v>0.11271808799999999</v>
      </c>
      <c r="D27" s="246">
        <v>39.906141930000004</v>
      </c>
      <c r="H27" s="180"/>
      <c r="J27" s="197"/>
      <c r="K27" s="189">
        <v>7</v>
      </c>
      <c r="L27" s="198"/>
      <c r="M27" s="170">
        <v>2023</v>
      </c>
      <c r="N27" s="245">
        <v>1.1879999999999999</v>
      </c>
      <c r="O27" s="245">
        <v>1.1879999999999999</v>
      </c>
      <c r="P27" s="245">
        <v>1.1879999999999999</v>
      </c>
      <c r="Q27" s="391"/>
      <c r="V27" s="558" t="s">
        <v>90</v>
      </c>
      <c r="W27" s="559">
        <v>24.478660479999999</v>
      </c>
      <c r="X27" s="559">
        <v>9.8615899999999992E-2</v>
      </c>
      <c r="Y27" s="559">
        <v>34.913515439999998</v>
      </c>
      <c r="AA27" s="542">
        <v>2023</v>
      </c>
      <c r="AB27" s="554">
        <v>1.143</v>
      </c>
      <c r="AC27" s="554">
        <v>1.143</v>
      </c>
      <c r="AD27" s="554">
        <v>1.143</v>
      </c>
    </row>
    <row r="28" spans="1:32">
      <c r="A28" s="188" t="s">
        <v>84</v>
      </c>
      <c r="B28" s="246">
        <v>24.517784339999999</v>
      </c>
      <c r="C28" s="247">
        <v>5.3937027000000005E-2</v>
      </c>
      <c r="D28" s="246">
        <v>39.906141930000004</v>
      </c>
      <c r="H28" s="180"/>
      <c r="J28" s="199"/>
      <c r="K28" s="191">
        <v>8</v>
      </c>
      <c r="L28" s="200"/>
      <c r="M28" s="170">
        <v>2024</v>
      </c>
      <c r="N28" s="245">
        <v>1.1879999999999999</v>
      </c>
      <c r="O28" s="245">
        <v>1.1879999999999999</v>
      </c>
      <c r="P28" s="245">
        <v>1.1879999999999999</v>
      </c>
      <c r="Q28" s="392"/>
      <c r="V28" s="558" t="s">
        <v>84</v>
      </c>
      <c r="W28" s="559">
        <v>21.450375520000001</v>
      </c>
      <c r="X28" s="560">
        <v>4.7188567999999993E-2</v>
      </c>
      <c r="Y28" s="559">
        <v>34.913515439999998</v>
      </c>
      <c r="AA28" s="542">
        <v>2024</v>
      </c>
      <c r="AB28" s="554">
        <v>1.143</v>
      </c>
      <c r="AC28" s="554">
        <v>1.143</v>
      </c>
      <c r="AD28" s="554">
        <v>1.143</v>
      </c>
    </row>
    <row r="29" spans="1:32">
      <c r="A29" s="188" t="s">
        <v>59</v>
      </c>
      <c r="B29" s="246">
        <v>25.09046163</v>
      </c>
      <c r="C29" s="247">
        <v>6.6860928E-2</v>
      </c>
      <c r="D29" s="246">
        <v>35.005403700000002</v>
      </c>
      <c r="H29" s="180"/>
      <c r="J29" s="201"/>
      <c r="K29" s="189">
        <v>9</v>
      </c>
      <c r="L29" s="202"/>
      <c r="M29" s="170">
        <v>2025</v>
      </c>
      <c r="N29" s="245">
        <v>1.1879999999999999</v>
      </c>
      <c r="O29" s="245">
        <v>1.1879999999999999</v>
      </c>
      <c r="P29" s="245">
        <v>1.1879999999999999</v>
      </c>
      <c r="Q29" s="391"/>
      <c r="V29" s="558" t="s">
        <v>59</v>
      </c>
      <c r="W29" s="559">
        <v>21.951413080000002</v>
      </c>
      <c r="X29" s="560">
        <v>5.8495891999999994E-2</v>
      </c>
      <c r="Y29" s="559">
        <v>30.625900099999999</v>
      </c>
      <c r="AA29" s="542">
        <v>2025</v>
      </c>
      <c r="AB29" s="554">
        <v>1.143</v>
      </c>
      <c r="AC29" s="554">
        <v>1.143</v>
      </c>
      <c r="AD29" s="554">
        <v>1.143</v>
      </c>
    </row>
    <row r="30" spans="1:32">
      <c r="A30" s="188" t="s">
        <v>85</v>
      </c>
      <c r="B30" s="246">
        <v>29.90230875</v>
      </c>
      <c r="C30" s="247">
        <v>9.8715194999999992E-2</v>
      </c>
      <c r="D30" s="246">
        <v>39.906141930000004</v>
      </c>
      <c r="H30" s="180"/>
      <c r="J30" s="203"/>
      <c r="K30" s="191">
        <v>10</v>
      </c>
      <c r="L30" s="204"/>
      <c r="M30" s="170">
        <v>2026</v>
      </c>
      <c r="N30" s="245">
        <v>1.1879999999999999</v>
      </c>
      <c r="O30" s="245">
        <v>1.1879999999999999</v>
      </c>
      <c r="P30" s="245">
        <v>1.1879999999999999</v>
      </c>
      <c r="Q30" s="392"/>
      <c r="V30" s="558" t="s">
        <v>85</v>
      </c>
      <c r="W30" s="559">
        <v>26.161250539999997</v>
      </c>
      <c r="X30" s="560">
        <v>8.6364519999999986E-2</v>
      </c>
      <c r="Y30" s="559">
        <v>34.913515439999998</v>
      </c>
      <c r="AA30" s="542">
        <v>2026</v>
      </c>
      <c r="AB30" s="554">
        <v>1.143</v>
      </c>
      <c r="AC30" s="554">
        <v>1.143</v>
      </c>
      <c r="AD30" s="554">
        <v>1.143</v>
      </c>
    </row>
    <row r="31" spans="1:32">
      <c r="A31" s="188" t="s">
        <v>86</v>
      </c>
      <c r="B31" s="193">
        <v>11.480840000000001</v>
      </c>
      <c r="C31" s="180">
        <v>6.6236000000000003E-2</v>
      </c>
      <c r="D31" s="180">
        <v>25.822845000000001</v>
      </c>
      <c r="H31" s="180"/>
      <c r="J31" s="205"/>
      <c r="K31" s="189">
        <v>11</v>
      </c>
      <c r="L31" s="206"/>
      <c r="M31" s="170">
        <v>2027</v>
      </c>
      <c r="N31" s="245">
        <v>1.1879999999999999</v>
      </c>
      <c r="O31" s="245">
        <v>1.1879999999999999</v>
      </c>
      <c r="P31" s="245">
        <v>1.1879999999999999</v>
      </c>
      <c r="Q31" s="391"/>
      <c r="V31" s="558" t="s">
        <v>86</v>
      </c>
      <c r="W31" s="561">
        <v>11.480840000000001</v>
      </c>
      <c r="X31" s="562">
        <v>6.6236000000000003E-2</v>
      </c>
      <c r="Y31" s="562">
        <v>25.822845000000001</v>
      </c>
      <c r="AA31" s="542">
        <v>2027</v>
      </c>
      <c r="AB31" s="554">
        <v>1.143</v>
      </c>
      <c r="AC31" s="554">
        <v>1.143</v>
      </c>
      <c r="AD31" s="554">
        <v>1.143</v>
      </c>
    </row>
    <row r="32" spans="1:32">
      <c r="A32" s="188" t="s">
        <v>87</v>
      </c>
      <c r="B32" s="193">
        <v>18.086320000000001</v>
      </c>
      <c r="C32" s="180">
        <v>3.9974000000000003E-2</v>
      </c>
      <c r="D32" s="180">
        <v>29.438043</v>
      </c>
      <c r="H32" s="180"/>
      <c r="J32" s="180"/>
      <c r="K32" s="191">
        <v>12</v>
      </c>
      <c r="L32" s="207"/>
      <c r="M32" s="170">
        <v>2028</v>
      </c>
      <c r="N32" s="245">
        <v>1.1879999999999999</v>
      </c>
      <c r="O32" s="245">
        <v>1.1879999999999999</v>
      </c>
      <c r="P32" s="245">
        <v>1.1879999999999999</v>
      </c>
      <c r="Q32" s="392"/>
      <c r="V32" s="558" t="s">
        <v>87</v>
      </c>
      <c r="W32" s="561">
        <v>18.086320000000001</v>
      </c>
      <c r="X32" s="562">
        <v>3.9974000000000003E-2</v>
      </c>
      <c r="Y32" s="562">
        <v>29.438043</v>
      </c>
      <c r="AA32" s="542">
        <v>2028</v>
      </c>
      <c r="AB32" s="554">
        <v>1.143</v>
      </c>
      <c r="AC32" s="554">
        <v>1.143</v>
      </c>
      <c r="AD32" s="554">
        <v>1.143</v>
      </c>
    </row>
    <row r="33" spans="1:30">
      <c r="A33" s="188" t="s">
        <v>88</v>
      </c>
      <c r="B33" s="193">
        <v>18.508780000000002</v>
      </c>
      <c r="C33" s="180">
        <v>4.6852999999999999E-2</v>
      </c>
      <c r="D33" s="180">
        <v>25.822845000000001</v>
      </c>
      <c r="H33" s="180"/>
      <c r="J33" s="180"/>
      <c r="K33" s="208"/>
      <c r="L33" s="207"/>
      <c r="M33" s="170">
        <v>2029</v>
      </c>
      <c r="N33" s="245">
        <v>1.1879999999999999</v>
      </c>
      <c r="O33" s="245">
        <v>1.1879999999999999</v>
      </c>
      <c r="P33" s="245">
        <v>1.1879999999999999</v>
      </c>
      <c r="Q33" s="391"/>
      <c r="V33" s="558" t="s">
        <v>88</v>
      </c>
      <c r="W33" s="561">
        <v>18.508780000000002</v>
      </c>
      <c r="X33" s="562">
        <v>4.6852999999999999E-2</v>
      </c>
      <c r="Y33" s="562">
        <v>25.822845000000001</v>
      </c>
      <c r="AA33" s="542">
        <v>2029</v>
      </c>
      <c r="AB33" s="554">
        <v>1.143</v>
      </c>
      <c r="AC33" s="554">
        <v>1.143</v>
      </c>
      <c r="AD33" s="554">
        <v>1.143</v>
      </c>
    </row>
    <row r="34" spans="1:30">
      <c r="A34" s="188" t="s">
        <v>89</v>
      </c>
      <c r="B34" s="193">
        <v>24.304459999999999</v>
      </c>
      <c r="C34" s="180">
        <v>7.2303999999999993E-2</v>
      </c>
      <c r="D34" s="180">
        <v>25.822845000000001</v>
      </c>
      <c r="H34" s="180"/>
      <c r="J34" s="180"/>
      <c r="K34" s="208"/>
      <c r="L34" s="207"/>
      <c r="M34" s="170">
        <v>2030</v>
      </c>
      <c r="N34" s="245">
        <v>1.1879999999999999</v>
      </c>
      <c r="O34" s="245">
        <v>1.1879999999999999</v>
      </c>
      <c r="P34" s="245">
        <v>1.1879999999999999</v>
      </c>
      <c r="Q34" s="392"/>
      <c r="V34" s="558" t="s">
        <v>89</v>
      </c>
      <c r="W34" s="561">
        <v>24.304459999999999</v>
      </c>
      <c r="X34" s="562">
        <v>7.2303999999999993E-2</v>
      </c>
      <c r="Y34" s="562">
        <v>25.822845000000001</v>
      </c>
      <c r="AA34" s="542">
        <v>2030</v>
      </c>
      <c r="AB34" s="554">
        <v>1.143</v>
      </c>
      <c r="AC34" s="554">
        <v>1.143</v>
      </c>
      <c r="AD34" s="554">
        <v>1.143</v>
      </c>
    </row>
    <row r="35" spans="1:30">
      <c r="A35" s="188" t="s">
        <v>60</v>
      </c>
      <c r="B35" s="193">
        <v>10.50938</v>
      </c>
      <c r="C35" s="180">
        <v>6.6105999999999998E-2</v>
      </c>
      <c r="D35" s="180">
        <v>25.822845000000001</v>
      </c>
      <c r="H35" s="180"/>
      <c r="I35" s="180"/>
      <c r="J35" s="180"/>
      <c r="K35" s="208"/>
      <c r="L35" s="207"/>
      <c r="M35" s="207"/>
      <c r="N35" s="207"/>
      <c r="V35" s="558" t="s">
        <v>60</v>
      </c>
      <c r="W35" s="561">
        <v>10.50938</v>
      </c>
      <c r="X35" s="562">
        <v>6.6105999999999998E-2</v>
      </c>
      <c r="Y35" s="562">
        <v>25.822845000000001</v>
      </c>
    </row>
    <row r="36" spans="1:30">
      <c r="A36" s="188" t="s">
        <v>61</v>
      </c>
      <c r="B36" s="193">
        <v>10.53262</v>
      </c>
      <c r="C36" s="180">
        <v>6.6236000000000003E-2</v>
      </c>
      <c r="D36" s="180">
        <v>25.822845000000001</v>
      </c>
      <c r="H36" s="180"/>
      <c r="I36" s="180"/>
      <c r="J36" s="180"/>
      <c r="K36" s="208"/>
      <c r="L36" s="207"/>
      <c r="M36" s="207"/>
      <c r="N36" s="207"/>
      <c r="V36" s="558" t="s">
        <v>61</v>
      </c>
      <c r="W36" s="561">
        <v>10.53262</v>
      </c>
      <c r="X36" s="562">
        <v>6.6236000000000003E-2</v>
      </c>
      <c r="Y36" s="562">
        <v>25.822845000000001</v>
      </c>
    </row>
    <row r="37" spans="1:30">
      <c r="A37" s="188" t="s">
        <v>62</v>
      </c>
      <c r="B37" s="193">
        <v>10.7423</v>
      </c>
      <c r="C37" s="180">
        <v>6.1975000000000002E-2</v>
      </c>
      <c r="D37" s="180">
        <v>25.822845000000001</v>
      </c>
      <c r="H37" s="180"/>
      <c r="I37" s="180"/>
      <c r="J37" s="180"/>
      <c r="K37" s="208"/>
      <c r="L37" s="207"/>
      <c r="M37" s="207"/>
      <c r="N37" s="207"/>
      <c r="V37" s="558" t="s">
        <v>62</v>
      </c>
      <c r="W37" s="561">
        <v>10.7423</v>
      </c>
      <c r="X37" s="562">
        <v>6.1975000000000002E-2</v>
      </c>
      <c r="Y37" s="562">
        <v>25.822845000000001</v>
      </c>
    </row>
    <row r="38" spans="1:30">
      <c r="B38" s="177"/>
      <c r="C38" s="177"/>
      <c r="D38" s="177"/>
    </row>
    <row r="39" spans="1:30">
      <c r="A39" s="226" t="s">
        <v>228</v>
      </c>
      <c r="B39" s="180">
        <v>9</v>
      </c>
      <c r="C39" s="177"/>
      <c r="D39" s="177"/>
    </row>
    <row r="40" spans="1:30">
      <c r="A40" s="209"/>
      <c r="B40" s="180"/>
      <c r="C40" s="177"/>
      <c r="D40" s="177"/>
    </row>
    <row r="41" spans="1:30">
      <c r="A41" s="226" t="s">
        <v>231</v>
      </c>
      <c r="B41" s="227"/>
      <c r="C41" s="177"/>
      <c r="D41" s="177">
        <v>0.1</v>
      </c>
    </row>
    <row r="42" spans="1:30">
      <c r="A42" s="209"/>
      <c r="B42" s="180"/>
      <c r="C42" s="177"/>
      <c r="D42" s="177"/>
    </row>
    <row r="43" spans="1:30">
      <c r="A43" s="235" t="s">
        <v>251</v>
      </c>
      <c r="B43" s="180"/>
      <c r="C43" s="177"/>
      <c r="D43" s="177"/>
    </row>
    <row r="44" spans="1:30">
      <c r="A44" s="228" t="s">
        <v>248</v>
      </c>
      <c r="B44" s="229">
        <v>4.0000000000000001E-3</v>
      </c>
      <c r="C44" s="177"/>
      <c r="D44" s="177"/>
    </row>
    <row r="45" spans="1:30">
      <c r="A45" s="228" t="s">
        <v>249</v>
      </c>
      <c r="B45" s="229">
        <v>8.9999999999999993E-3</v>
      </c>
      <c r="C45" s="177"/>
      <c r="D45" s="177"/>
    </row>
    <row r="46" spans="1:30">
      <c r="A46" s="228" t="s">
        <v>619</v>
      </c>
      <c r="B46" s="229">
        <v>1.7899999999999999E-2</v>
      </c>
      <c r="C46" s="177"/>
      <c r="D46" s="177"/>
    </row>
    <row r="47" spans="1:30">
      <c r="A47" s="228" t="s">
        <v>620</v>
      </c>
      <c r="B47" s="229">
        <v>4.0000000000000001E-3</v>
      </c>
      <c r="C47" s="177"/>
      <c r="D47" s="177"/>
    </row>
    <row r="48" spans="1:30">
      <c r="C48" s="177"/>
      <c r="D48" s="177"/>
    </row>
    <row r="50" spans="1:16" ht="36.75" customHeight="1">
      <c r="B50" s="210" t="s">
        <v>229</v>
      </c>
      <c r="C50" s="210"/>
      <c r="D50" s="210"/>
      <c r="E50" s="210"/>
      <c r="F50" s="210"/>
      <c r="G50" s="210"/>
      <c r="H50" s="210"/>
      <c r="I50" s="210"/>
      <c r="J50" s="210"/>
      <c r="K50" s="211"/>
      <c r="L50" s="211"/>
    </row>
    <row r="51" spans="1:16" ht="12.75">
      <c r="A51" s="211"/>
      <c r="B51" s="211"/>
      <c r="C51" s="211"/>
      <c r="D51" s="211"/>
      <c r="E51" s="211"/>
      <c r="F51" s="211"/>
      <c r="G51" s="211"/>
      <c r="H51" s="211"/>
      <c r="I51" s="211"/>
      <c r="J51" s="211"/>
      <c r="K51" s="211"/>
      <c r="L51" s="211"/>
    </row>
    <row r="52" spans="1:16" ht="12.75">
      <c r="A52" s="211"/>
      <c r="B52" s="211"/>
      <c r="C52" s="211"/>
      <c r="D52" s="211"/>
      <c r="E52" s="211"/>
      <c r="F52" s="211"/>
      <c r="G52" s="211"/>
      <c r="H52" s="211"/>
      <c r="I52" s="211"/>
      <c r="J52" s="211"/>
      <c r="K52" s="211"/>
      <c r="L52" s="211"/>
    </row>
    <row r="53" spans="1:16" ht="12.75">
      <c r="A53" s="211"/>
      <c r="B53" s="211"/>
      <c r="C53" s="211"/>
      <c r="D53" s="211"/>
      <c r="E53" s="211"/>
      <c r="F53" s="211"/>
      <c r="G53" s="211"/>
      <c r="H53" s="211"/>
      <c r="I53" s="211"/>
      <c r="J53" s="211"/>
      <c r="K53" s="211"/>
      <c r="L53" s="211"/>
    </row>
    <row r="54" spans="1:16" ht="12.75">
      <c r="A54" s="211"/>
      <c r="B54" s="211"/>
      <c r="C54" s="211"/>
      <c r="D54" s="211"/>
      <c r="E54" s="211"/>
      <c r="F54" s="211"/>
      <c r="G54" s="211"/>
      <c r="H54" s="211"/>
      <c r="I54" s="211"/>
      <c r="J54" s="211"/>
      <c r="K54" s="211"/>
      <c r="L54" s="211"/>
    </row>
    <row r="55" spans="1:16" ht="12.75">
      <c r="A55" s="211"/>
      <c r="B55" s="211"/>
      <c r="C55" s="211"/>
      <c r="D55" s="211"/>
      <c r="E55" s="211"/>
      <c r="F55" s="211"/>
      <c r="G55" s="211"/>
      <c r="H55" s="211"/>
      <c r="I55" s="211"/>
      <c r="J55" s="211"/>
      <c r="K55" s="211"/>
      <c r="L55" s="211"/>
    </row>
    <row r="56" spans="1:16" ht="12.75">
      <c r="A56" s="211"/>
      <c r="B56" s="211"/>
      <c r="C56" s="211"/>
      <c r="D56" s="211"/>
      <c r="E56" s="211"/>
      <c r="F56" s="211"/>
      <c r="G56" s="211"/>
      <c r="H56" s="211"/>
      <c r="I56" s="211"/>
      <c r="J56" s="211"/>
      <c r="K56" s="211"/>
      <c r="L56" s="211"/>
    </row>
    <row r="57" spans="1:16" ht="12.75">
      <c r="A57" s="211"/>
      <c r="B57" s="211"/>
      <c r="C57" s="211"/>
      <c r="D57" s="211"/>
      <c r="E57" s="211"/>
      <c r="F57" s="211"/>
      <c r="G57" s="211"/>
      <c r="H57" s="211"/>
      <c r="I57" s="211"/>
      <c r="J57" s="211"/>
      <c r="K57" s="211"/>
      <c r="L57" s="211"/>
    </row>
    <row r="58" spans="1:16" ht="12.75">
      <c r="A58" s="211"/>
      <c r="B58" s="211"/>
      <c r="C58" s="211"/>
      <c r="D58" s="211"/>
      <c r="E58" s="211"/>
      <c r="F58" s="211"/>
      <c r="G58" s="211"/>
      <c r="H58" s="211"/>
      <c r="I58" s="211"/>
      <c r="J58" s="211"/>
      <c r="K58" s="211"/>
      <c r="L58" s="211"/>
    </row>
    <row r="59" spans="1:16" ht="18">
      <c r="A59" s="608" t="s">
        <v>230</v>
      </c>
      <c r="B59" s="608"/>
      <c r="C59" s="608"/>
      <c r="D59" s="608"/>
      <c r="E59" s="608"/>
      <c r="F59" s="608"/>
      <c r="G59" s="608"/>
      <c r="H59" s="608"/>
      <c r="I59" s="608"/>
      <c r="J59" s="608"/>
      <c r="K59" s="608"/>
      <c r="L59" s="608"/>
      <c r="M59" s="608"/>
      <c r="N59" s="608"/>
      <c r="O59" s="608"/>
      <c r="P59" s="608"/>
    </row>
    <row r="60" spans="1:16" ht="18">
      <c r="A60" s="212"/>
      <c r="B60" s="212"/>
      <c r="C60" s="212"/>
      <c r="D60" s="212"/>
      <c r="E60" s="212"/>
      <c r="F60" s="212"/>
      <c r="G60" s="212"/>
      <c r="H60" s="212"/>
      <c r="I60" s="212"/>
      <c r="J60" s="212"/>
      <c r="K60" s="212"/>
      <c r="L60" s="211"/>
    </row>
    <row r="61" spans="1:16" ht="18">
      <c r="A61" s="608" t="s">
        <v>255</v>
      </c>
      <c r="B61" s="608"/>
      <c r="C61" s="608"/>
      <c r="D61" s="608"/>
      <c r="E61" s="608"/>
      <c r="F61" s="608"/>
      <c r="G61" s="608"/>
      <c r="H61" s="608"/>
      <c r="I61" s="608"/>
      <c r="J61" s="608"/>
      <c r="K61" s="608"/>
      <c r="L61" s="608"/>
      <c r="M61" s="608"/>
      <c r="N61" s="608"/>
      <c r="O61" s="608"/>
      <c r="P61" s="608"/>
    </row>
    <row r="63" spans="1:16">
      <c r="K63" s="194"/>
    </row>
    <row r="64" spans="1:16">
      <c r="B64" s="194"/>
      <c r="C64" s="194"/>
      <c r="D64" s="194"/>
      <c r="K64" s="213"/>
    </row>
    <row r="65" spans="1:11">
      <c r="B65" s="214"/>
      <c r="C65" s="214"/>
      <c r="D65" s="215"/>
      <c r="K65" s="213"/>
    </row>
    <row r="66" spans="1:11">
      <c r="B66" s="214"/>
      <c r="C66" s="214"/>
      <c r="D66" s="215"/>
      <c r="K66" s="213"/>
    </row>
    <row r="67" spans="1:11">
      <c r="B67" s="214"/>
      <c r="C67" s="214"/>
      <c r="D67" s="215"/>
      <c r="K67" s="213"/>
    </row>
    <row r="68" spans="1:11">
      <c r="B68" s="214"/>
      <c r="C68" s="214"/>
      <c r="D68" s="215"/>
      <c r="K68" s="213"/>
    </row>
    <row r="69" spans="1:11">
      <c r="B69" s="214"/>
      <c r="C69" s="214"/>
      <c r="D69" s="215"/>
      <c r="K69" s="213"/>
    </row>
    <row r="70" spans="1:11">
      <c r="A70" s="215"/>
      <c r="B70" s="214"/>
      <c r="C70" s="214"/>
      <c r="D70" s="215"/>
      <c r="K70" s="213"/>
    </row>
    <row r="71" spans="1:11">
      <c r="A71" s="215"/>
      <c r="B71" s="214"/>
      <c r="C71" s="214"/>
      <c r="D71" s="215"/>
      <c r="K71" s="213"/>
    </row>
    <row r="72" spans="1:11">
      <c r="A72" s="215"/>
      <c r="B72" s="214"/>
      <c r="C72" s="214"/>
      <c r="D72" s="215"/>
      <c r="K72" s="213"/>
    </row>
    <row r="73" spans="1:11">
      <c r="A73" s="215"/>
      <c r="B73" s="214"/>
      <c r="C73" s="214"/>
      <c r="D73" s="215"/>
      <c r="K73" s="213"/>
    </row>
    <row r="74" spans="1:11">
      <c r="A74" s="215"/>
      <c r="B74" s="214"/>
      <c r="C74" s="214"/>
      <c r="D74" s="215"/>
      <c r="K74" s="213"/>
    </row>
    <row r="75" spans="1:11">
      <c r="K75" s="213"/>
    </row>
    <row r="76" spans="1:11">
      <c r="K76" s="213"/>
    </row>
    <row r="77" spans="1:11">
      <c r="K77" s="213"/>
    </row>
    <row r="78" spans="1:11">
      <c r="K78" s="213"/>
    </row>
  </sheetData>
  <mergeCells count="3">
    <mergeCell ref="E11:I11"/>
    <mergeCell ref="A59:P59"/>
    <mergeCell ref="A61:P61"/>
  </mergeCells>
  <phoneticPr fontId="59"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1:DA328"/>
  <sheetViews>
    <sheetView topLeftCell="A4" workbookViewId="0">
      <selection activeCell="H31" sqref="H31"/>
    </sheetView>
  </sheetViews>
  <sheetFormatPr defaultColWidth="9.140625" defaultRowHeight="12.75"/>
  <cols>
    <col min="1" max="1" width="28" style="249" customWidth="1"/>
    <col min="2" max="2" width="8.85546875" style="252" customWidth="1"/>
    <col min="3" max="3" width="7.42578125" style="252" customWidth="1"/>
    <col min="4" max="4" width="10.7109375" style="249" customWidth="1"/>
    <col min="5" max="10" width="6.7109375" style="249" customWidth="1"/>
    <col min="11" max="11" width="1.28515625" style="250" customWidth="1"/>
    <col min="12" max="14" width="5" style="249" customWidth="1"/>
    <col min="15" max="15" width="1.28515625" style="250" customWidth="1"/>
    <col min="16" max="16" width="10.7109375" style="249" customWidth="1"/>
    <col min="17" max="22" width="6.7109375" style="249" customWidth="1"/>
    <col min="23" max="23" width="1.28515625" style="249" customWidth="1"/>
    <col min="24" max="32" width="10.7109375" style="250" customWidth="1"/>
    <col min="33" max="34" width="10.7109375" style="253" customWidth="1"/>
    <col min="35" max="35" width="10.7109375" style="253" hidden="1" customWidth="1"/>
    <col min="36" max="36" width="10.7109375" style="254" customWidth="1"/>
    <col min="37" max="37" width="10.7109375" style="250" hidden="1" customWidth="1"/>
    <col min="38" max="38" width="10.7109375" style="254" customWidth="1"/>
    <col min="39" max="39" width="8.7109375" style="249" customWidth="1"/>
    <col min="40" max="41" width="10.7109375" style="249" customWidth="1"/>
    <col min="42" max="42" width="10.7109375" style="249" hidden="1" customWidth="1"/>
    <col min="43" max="43" width="6.7109375" style="254" hidden="1" customWidth="1"/>
    <col min="44" max="44" width="10.7109375" style="254" hidden="1" customWidth="1"/>
    <col min="45" max="45" width="4.7109375" style="254" hidden="1" customWidth="1"/>
    <col min="46" max="46" width="10.7109375" style="254" customWidth="1"/>
    <col min="47" max="47" width="8.7109375" style="254" hidden="1" customWidth="1"/>
    <col min="48" max="48" width="10.7109375" style="254" customWidth="1"/>
    <col min="49" max="49" width="8.7109375" style="249" hidden="1" customWidth="1"/>
    <col min="50" max="50" width="12.7109375" style="254" customWidth="1"/>
    <col min="51" max="51" width="8.7109375" style="249" hidden="1" customWidth="1"/>
    <col min="52" max="52" width="12.7109375" style="254" customWidth="1"/>
    <col min="53" max="53" width="8.7109375" style="249" customWidth="1"/>
    <col min="54" max="54" width="2" style="254" customWidth="1"/>
    <col min="55" max="56" width="6.7109375" style="254" customWidth="1"/>
    <col min="57" max="57" width="6.7109375" style="249" customWidth="1"/>
    <col min="58" max="58" width="7.5703125" style="249" customWidth="1"/>
    <col min="59" max="59" width="10.42578125" style="254" bestFit="1" customWidth="1"/>
    <col min="60" max="60" width="1.7109375" style="249" customWidth="1"/>
    <col min="61" max="64" width="9.140625" style="249"/>
    <col min="65" max="65" width="1.7109375" style="249" customWidth="1"/>
    <col min="66" max="66" width="10.85546875" style="250" customWidth="1"/>
    <col min="67" max="73" width="10.85546875" style="251" customWidth="1"/>
    <col min="74" max="74" width="1.7109375" style="251" customWidth="1"/>
    <col min="75" max="79" width="10.85546875" style="251" customWidth="1"/>
    <col min="80" max="83" width="10.7109375" style="250" customWidth="1"/>
    <col min="84" max="84" width="10.85546875" style="251" customWidth="1"/>
    <col min="85" max="85" width="1.7109375" style="251" customWidth="1"/>
    <col min="86" max="90" width="10.85546875" style="251" customWidth="1"/>
    <col min="91" max="94" width="10.7109375" style="250" customWidth="1"/>
    <col min="95" max="95" width="10.85546875" style="251" customWidth="1"/>
    <col min="96" max="96" width="1.7109375" style="249" customWidth="1"/>
    <col min="97" max="105" width="10.85546875" style="251" customWidth="1"/>
    <col min="106" max="16384" width="9.140625" style="249"/>
  </cols>
  <sheetData>
    <row r="1" spans="1:94">
      <c r="A1" s="611" t="s">
        <v>258</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CB1" s="251"/>
      <c r="CC1" s="251"/>
      <c r="CD1" s="251"/>
      <c r="CE1" s="251"/>
      <c r="CM1" s="251"/>
      <c r="CN1" s="251"/>
      <c r="CO1" s="251"/>
      <c r="CP1" s="251"/>
    </row>
    <row r="2" spans="1:94" ht="6" customHeight="1">
      <c r="K2" s="249"/>
      <c r="L2" s="250"/>
      <c r="O2" s="249"/>
      <c r="P2" s="250"/>
      <c r="AG2" s="250"/>
      <c r="AJ2" s="253"/>
      <c r="AK2" s="254"/>
      <c r="AL2" s="250"/>
      <c r="AM2" s="254"/>
      <c r="AQ2" s="249"/>
      <c r="AW2" s="254"/>
      <c r="AX2" s="249"/>
      <c r="AY2" s="254"/>
      <c r="AZ2" s="249"/>
      <c r="BA2" s="254"/>
      <c r="BB2" s="249"/>
      <c r="BE2" s="254"/>
      <c r="BG2" s="249"/>
      <c r="BH2" s="254"/>
      <c r="BN2" s="249"/>
      <c r="BO2" s="250"/>
    </row>
    <row r="3" spans="1:94" ht="12.75" customHeight="1">
      <c r="A3" s="255" t="s">
        <v>259</v>
      </c>
      <c r="B3" s="256"/>
      <c r="C3" s="257">
        <f>'DATI UTENTE'!D22</f>
        <v>0</v>
      </c>
      <c r="K3" s="249"/>
      <c r="L3" s="250"/>
      <c r="O3" s="249"/>
      <c r="P3" s="250"/>
      <c r="AG3" s="250"/>
      <c r="AJ3" s="253"/>
      <c r="AK3" s="254"/>
      <c r="AL3" s="250"/>
      <c r="AM3" s="254"/>
      <c r="AQ3" s="249"/>
      <c r="AW3" s="254"/>
      <c r="AX3" s="249"/>
      <c r="AY3" s="254"/>
      <c r="AZ3" s="249"/>
      <c r="BA3" s="254"/>
      <c r="BB3" s="249"/>
      <c r="BE3" s="254"/>
      <c r="BG3" s="249"/>
      <c r="BH3" s="254"/>
      <c r="BN3" s="249"/>
      <c r="BO3" s="250"/>
    </row>
    <row r="4" spans="1:94" ht="6" customHeight="1">
      <c r="K4" s="249"/>
      <c r="L4" s="250"/>
      <c r="O4" s="249"/>
      <c r="P4" s="250"/>
      <c r="AG4" s="250"/>
      <c r="AJ4" s="253"/>
      <c r="AK4" s="254"/>
      <c r="AL4" s="250"/>
      <c r="AM4" s="254"/>
      <c r="AQ4" s="249"/>
      <c r="AW4" s="254"/>
      <c r="AX4" s="249"/>
      <c r="AY4" s="254"/>
      <c r="AZ4" s="249"/>
      <c r="BA4" s="254"/>
      <c r="BB4" s="249"/>
      <c r="BE4" s="254"/>
      <c r="BG4" s="249"/>
      <c r="BH4" s="254"/>
      <c r="BN4" s="249"/>
      <c r="BO4" s="250"/>
    </row>
    <row r="5" spans="1:94">
      <c r="A5" s="258" t="s">
        <v>260</v>
      </c>
      <c r="B5" s="259" t="s">
        <v>261</v>
      </c>
      <c r="C5" s="260">
        <f>COUNTA(A53:A57)</f>
        <v>0</v>
      </c>
      <c r="K5" s="249"/>
      <c r="L5" s="250"/>
      <c r="O5" s="249"/>
      <c r="P5" s="250"/>
      <c r="AG5" s="250"/>
      <c r="AJ5" s="253"/>
      <c r="AK5" s="254"/>
      <c r="AL5" s="250"/>
      <c r="AM5" s="254"/>
      <c r="AQ5" s="249"/>
      <c r="AW5" s="254"/>
      <c r="AX5" s="249"/>
      <c r="AY5" s="254"/>
      <c r="AZ5" s="249"/>
      <c r="BA5" s="254"/>
      <c r="BB5" s="249"/>
      <c r="BE5" s="254"/>
      <c r="BG5" s="249"/>
      <c r="BH5" s="254"/>
      <c r="BN5" s="249"/>
      <c r="BO5" s="250"/>
    </row>
    <row r="6" spans="1:94" ht="6" customHeight="1">
      <c r="C6" s="261"/>
      <c r="K6" s="249"/>
      <c r="L6" s="250"/>
      <c r="O6" s="249"/>
      <c r="P6" s="250"/>
      <c r="AG6" s="250"/>
      <c r="AJ6" s="253"/>
      <c r="AK6" s="254"/>
      <c r="AL6" s="250"/>
      <c r="AM6" s="254"/>
      <c r="AQ6" s="249"/>
      <c r="AW6" s="254"/>
      <c r="AX6" s="249"/>
      <c r="AY6" s="254"/>
      <c r="AZ6" s="249"/>
      <c r="BA6" s="254"/>
      <c r="BB6" s="249"/>
      <c r="BE6" s="254"/>
      <c r="BG6" s="249"/>
      <c r="BH6" s="254"/>
      <c r="BN6" s="249"/>
      <c r="BO6" s="250"/>
    </row>
    <row r="7" spans="1:94">
      <c r="A7" s="262" t="s">
        <v>262</v>
      </c>
      <c r="B7" s="533" t="s">
        <v>616</v>
      </c>
      <c r="C7" s="263" t="e">
        <f>Dati!B75</f>
        <v>#N/A</v>
      </c>
      <c r="E7" s="252">
        <v>2018</v>
      </c>
      <c r="F7" s="252">
        <v>2019</v>
      </c>
      <c r="G7" s="252">
        <v>2020</v>
      </c>
      <c r="H7" s="252">
        <v>2021</v>
      </c>
      <c r="I7" s="252">
        <v>2022</v>
      </c>
      <c r="J7" s="252">
        <v>2023</v>
      </c>
      <c r="K7" s="264"/>
      <c r="L7" s="265"/>
      <c r="M7" s="264"/>
      <c r="N7" s="264"/>
      <c r="O7" s="264"/>
      <c r="P7" s="265"/>
      <c r="Q7" s="264"/>
      <c r="R7" s="264"/>
      <c r="S7" s="264"/>
      <c r="T7" s="264"/>
      <c r="U7" s="264"/>
      <c r="V7" s="264"/>
      <c r="AG7" s="250"/>
      <c r="AJ7" s="253"/>
      <c r="AK7" s="254"/>
      <c r="AL7" s="250"/>
      <c r="AM7" s="254"/>
      <c r="AQ7" s="249"/>
      <c r="AW7" s="254"/>
      <c r="AX7" s="249"/>
      <c r="AY7" s="254"/>
      <c r="AZ7" s="249"/>
      <c r="BA7" s="254"/>
      <c r="BB7" s="249"/>
      <c r="BE7" s="254"/>
      <c r="BG7" s="249"/>
      <c r="BH7" s="254"/>
      <c r="BN7" s="249"/>
      <c r="BO7" s="250"/>
    </row>
    <row r="8" spans="1:94">
      <c r="A8" s="262" t="s">
        <v>263</v>
      </c>
      <c r="B8" s="533" t="s">
        <v>616</v>
      </c>
      <c r="C8" s="263" t="e">
        <f>Dati!B75</f>
        <v>#N/A</v>
      </c>
      <c r="E8" s="567">
        <v>1.113</v>
      </c>
      <c r="F8" s="567">
        <v>1.143</v>
      </c>
      <c r="G8" s="263">
        <v>1</v>
      </c>
      <c r="H8" s="263">
        <v>1.01</v>
      </c>
      <c r="I8" s="263">
        <v>1.03</v>
      </c>
      <c r="J8" s="263">
        <v>1.05</v>
      </c>
      <c r="K8" s="249"/>
      <c r="L8" s="250"/>
      <c r="O8" s="249"/>
      <c r="P8" s="250"/>
      <c r="AG8" s="250"/>
      <c r="AJ8" s="253"/>
      <c r="AK8" s="254"/>
      <c r="AL8" s="250"/>
      <c r="AM8" s="254"/>
      <c r="AQ8" s="249"/>
      <c r="AW8" s="254"/>
      <c r="AX8" s="249"/>
      <c r="AY8" s="254"/>
      <c r="AZ8" s="249"/>
      <c r="BA8" s="254"/>
      <c r="BB8" s="249"/>
      <c r="BE8" s="254"/>
      <c r="BG8" s="249"/>
      <c r="BH8" s="254"/>
      <c r="BN8" s="249"/>
      <c r="BO8" s="250"/>
    </row>
    <row r="9" spans="1:94">
      <c r="A9" s="262" t="s">
        <v>614</v>
      </c>
      <c r="B9" s="533" t="s">
        <v>617</v>
      </c>
      <c r="C9" s="266" t="e">
        <f>C8/C7</f>
        <v>#N/A</v>
      </c>
      <c r="K9" s="249"/>
      <c r="L9" s="250"/>
      <c r="O9" s="249"/>
      <c r="P9" s="250"/>
      <c r="AG9" s="250"/>
      <c r="AJ9" s="253"/>
      <c r="AK9" s="254"/>
      <c r="AL9" s="250"/>
      <c r="AM9" s="254"/>
      <c r="AQ9" s="249"/>
      <c r="AW9" s="254"/>
      <c r="AX9" s="249"/>
      <c r="AY9" s="254"/>
      <c r="AZ9" s="249"/>
      <c r="BA9" s="254"/>
      <c r="BB9" s="249"/>
      <c r="BE9" s="254"/>
      <c r="BG9" s="249"/>
      <c r="BH9" s="254"/>
      <c r="BN9" s="249"/>
      <c r="BO9" s="250"/>
    </row>
    <row r="10" spans="1:94">
      <c r="A10" s="262" t="s">
        <v>615</v>
      </c>
      <c r="B10" s="533" t="s">
        <v>626</v>
      </c>
      <c r="C10" s="266" t="e">
        <f>C8/1</f>
        <v>#N/A</v>
      </c>
      <c r="K10" s="249"/>
      <c r="L10" s="250"/>
      <c r="O10" s="249"/>
      <c r="P10" s="250"/>
      <c r="AG10" s="250"/>
      <c r="AJ10" s="253"/>
      <c r="AK10" s="254"/>
      <c r="AL10" s="250"/>
      <c r="AM10" s="254"/>
      <c r="AQ10" s="249"/>
      <c r="AW10" s="254"/>
      <c r="AX10" s="249"/>
      <c r="AY10" s="254"/>
      <c r="AZ10" s="249"/>
      <c r="BA10" s="254"/>
      <c r="BB10" s="249"/>
      <c r="BE10" s="254"/>
      <c r="BG10" s="249"/>
      <c r="BH10" s="254"/>
      <c r="BN10" s="249"/>
      <c r="BO10" s="250"/>
    </row>
    <row r="11" spans="1:94" ht="6" customHeight="1">
      <c r="K11" s="249"/>
      <c r="L11" s="250"/>
      <c r="O11" s="249"/>
      <c r="P11" s="250"/>
      <c r="AG11" s="250"/>
      <c r="AJ11" s="253"/>
      <c r="AK11" s="254"/>
      <c r="AL11" s="250"/>
      <c r="AM11" s="254"/>
      <c r="AQ11" s="249"/>
      <c r="AW11" s="254"/>
      <c r="AX11" s="249"/>
      <c r="AY11" s="254"/>
      <c r="AZ11" s="249"/>
      <c r="BA11" s="254"/>
      <c r="BB11" s="249"/>
      <c r="BE11" s="254"/>
      <c r="BG11" s="249"/>
      <c r="BH11" s="254"/>
      <c r="BN11" s="249"/>
      <c r="BO11" s="250"/>
    </row>
    <row r="12" spans="1:94">
      <c r="A12" s="258" t="s">
        <v>264</v>
      </c>
      <c r="B12" s="259" t="s">
        <v>265</v>
      </c>
      <c r="C12" s="267" t="e">
        <f>X58*C9*100/AL58</f>
        <v>#N/A</v>
      </c>
      <c r="E12" s="268" t="s">
        <v>266</v>
      </c>
      <c r="K12" s="249"/>
      <c r="L12" s="250"/>
      <c r="O12" s="249"/>
      <c r="P12" s="250"/>
      <c r="V12" s="563" t="e">
        <f>AQ58*V9*100/BE58</f>
        <v>#VALUE!</v>
      </c>
      <c r="AG12" s="250"/>
      <c r="AJ12" s="253"/>
      <c r="AK12" s="254"/>
      <c r="AL12" s="250"/>
      <c r="AM12" s="254"/>
      <c r="AQ12" s="249"/>
      <c r="AW12" s="254"/>
      <c r="AX12" s="249"/>
      <c r="AY12" s="254"/>
      <c r="AZ12" s="249"/>
      <c r="BA12" s="254"/>
      <c r="BB12" s="249"/>
      <c r="BE12" s="254"/>
      <c r="BG12" s="249"/>
      <c r="BH12" s="254"/>
      <c r="BN12" s="249"/>
      <c r="BO12" s="250"/>
    </row>
    <row r="13" spans="1:94">
      <c r="A13" s="258" t="s">
        <v>267</v>
      </c>
      <c r="B13" s="259" t="s">
        <v>265</v>
      </c>
      <c r="C13" s="269">
        <v>5</v>
      </c>
      <c r="K13" s="249"/>
      <c r="L13" s="250"/>
      <c r="O13" s="249"/>
      <c r="P13" s="250"/>
      <c r="V13" s="564">
        <v>5</v>
      </c>
      <c r="AG13" s="250"/>
      <c r="AJ13" s="253"/>
      <c r="AK13" s="254"/>
      <c r="AL13" s="250"/>
      <c r="AM13" s="254"/>
      <c r="AQ13" s="249"/>
      <c r="AW13" s="254"/>
      <c r="AX13" s="249"/>
      <c r="AY13" s="254"/>
      <c r="AZ13" s="249"/>
      <c r="BA13" s="254"/>
      <c r="BB13" s="249"/>
      <c r="BE13" s="254"/>
      <c r="BG13" s="249"/>
      <c r="BH13" s="254"/>
      <c r="BN13" s="249"/>
      <c r="BO13" s="250"/>
    </row>
    <row r="14" spans="1:94">
      <c r="A14" s="258" t="s">
        <v>268</v>
      </c>
      <c r="B14" s="259" t="s">
        <v>269</v>
      </c>
      <c r="C14" s="269">
        <f>50*1.143/1.113</f>
        <v>51.347708894878707</v>
      </c>
      <c r="H14" s="249" t="s">
        <v>270</v>
      </c>
      <c r="K14" s="249"/>
      <c r="L14" s="250"/>
      <c r="O14" s="249"/>
      <c r="P14" s="250"/>
      <c r="V14" s="564">
        <v>50</v>
      </c>
      <c r="AG14" s="250"/>
      <c r="AJ14" s="253"/>
      <c r="AK14" s="254"/>
      <c r="AL14" s="250"/>
      <c r="AM14" s="254"/>
      <c r="AQ14" s="249"/>
      <c r="AW14" s="254"/>
      <c r="AX14" s="249"/>
      <c r="AY14" s="254"/>
      <c r="AZ14" s="249"/>
      <c r="BA14" s="254"/>
      <c r="BB14" s="249"/>
      <c r="BE14" s="254"/>
      <c r="BG14" s="249"/>
      <c r="BH14" s="254"/>
      <c r="BN14" s="249"/>
      <c r="BO14" s="250"/>
    </row>
    <row r="15" spans="1:94">
      <c r="A15" s="258" t="s">
        <v>271</v>
      </c>
      <c r="B15" s="259" t="s">
        <v>269</v>
      </c>
      <c r="C15" s="269">
        <f>150*1.143/1.113</f>
        <v>154.04312668463612</v>
      </c>
      <c r="H15" s="249" t="s">
        <v>272</v>
      </c>
      <c r="K15" s="249"/>
      <c r="L15" s="250"/>
      <c r="O15" s="249"/>
      <c r="P15" s="250"/>
      <c r="V15" s="564">
        <v>150</v>
      </c>
      <c r="AG15" s="250"/>
      <c r="AJ15" s="253"/>
      <c r="AK15" s="254"/>
      <c r="AL15" s="250"/>
      <c r="AM15" s="254"/>
      <c r="AQ15" s="249"/>
      <c r="AW15" s="254"/>
      <c r="AX15" s="249"/>
      <c r="AY15" s="254"/>
      <c r="AZ15" s="249"/>
      <c r="BA15" s="254"/>
      <c r="BB15" s="249"/>
      <c r="BE15" s="254"/>
      <c r="BG15" s="249"/>
      <c r="BH15" s="254"/>
      <c r="BN15" s="249"/>
      <c r="BO15" s="250"/>
    </row>
    <row r="16" spans="1:94">
      <c r="A16" s="258" t="s">
        <v>273</v>
      </c>
      <c r="B16" s="259" t="s">
        <v>269</v>
      </c>
      <c r="C16" s="269">
        <f>450*1.143/1.113</f>
        <v>462.12938005390839</v>
      </c>
      <c r="H16" s="249" t="s">
        <v>274</v>
      </c>
      <c r="K16" s="249"/>
      <c r="L16" s="250"/>
      <c r="O16" s="249"/>
      <c r="P16" s="250"/>
      <c r="V16" s="564">
        <v>450</v>
      </c>
      <c r="AG16" s="250"/>
      <c r="AJ16" s="253"/>
      <c r="AK16" s="254"/>
      <c r="AL16" s="250"/>
      <c r="AM16" s="254"/>
      <c r="AQ16" s="249"/>
      <c r="AW16" s="254"/>
      <c r="AX16" s="249"/>
      <c r="AY16" s="254"/>
      <c r="AZ16" s="249"/>
      <c r="BA16" s="254"/>
      <c r="BB16" s="249"/>
      <c r="BE16" s="254"/>
      <c r="BG16" s="249"/>
      <c r="BH16" s="254"/>
      <c r="BN16" s="249"/>
      <c r="BO16" s="250"/>
    </row>
    <row r="17" spans="1:67">
      <c r="A17" s="258" t="s">
        <v>275</v>
      </c>
      <c r="B17" s="259" t="s">
        <v>269</v>
      </c>
      <c r="C17" s="269">
        <f>300*1.143/1.113</f>
        <v>308.08625336927224</v>
      </c>
      <c r="H17" s="249" t="s">
        <v>276</v>
      </c>
      <c r="K17" s="249"/>
      <c r="L17" s="250"/>
      <c r="O17" s="249"/>
      <c r="P17" s="250"/>
      <c r="V17" s="564">
        <v>300</v>
      </c>
      <c r="AG17" s="250"/>
      <c r="AJ17" s="253"/>
      <c r="AK17" s="254"/>
      <c r="AL17" s="250"/>
      <c r="AM17" s="254"/>
      <c r="AQ17" s="249"/>
      <c r="AW17" s="254"/>
      <c r="AX17" s="249"/>
      <c r="AY17" s="254"/>
      <c r="AZ17" s="249"/>
      <c r="BA17" s="254"/>
      <c r="BB17" s="249"/>
      <c r="BE17" s="254"/>
      <c r="BG17" s="249"/>
      <c r="BH17" s="254"/>
      <c r="BN17" s="249"/>
      <c r="BO17" s="250"/>
    </row>
    <row r="18" spans="1:67">
      <c r="A18" s="270" t="s">
        <v>277</v>
      </c>
      <c r="B18" s="259"/>
      <c r="C18" s="269">
        <v>1</v>
      </c>
      <c r="E18" s="268" t="s">
        <v>278</v>
      </c>
      <c r="K18" s="249"/>
      <c r="L18" s="250"/>
      <c r="O18" s="249"/>
      <c r="P18" s="250"/>
      <c r="V18" s="564">
        <v>1</v>
      </c>
      <c r="AG18" s="250"/>
      <c r="AJ18" s="253"/>
      <c r="AK18" s="254"/>
      <c r="AL18" s="250"/>
      <c r="AM18" s="254"/>
      <c r="AQ18" s="249"/>
      <c r="AW18" s="254"/>
      <c r="AX18" s="249"/>
      <c r="AY18" s="254"/>
      <c r="AZ18" s="249"/>
      <c r="BA18" s="254"/>
      <c r="BB18" s="249"/>
      <c r="BE18" s="254"/>
      <c r="BG18" s="249"/>
      <c r="BH18" s="254"/>
      <c r="BN18" s="249"/>
      <c r="BO18" s="250"/>
    </row>
    <row r="19" spans="1:67">
      <c r="A19" s="258" t="s">
        <v>279</v>
      </c>
      <c r="B19" s="259" t="s">
        <v>265</v>
      </c>
      <c r="C19" s="269">
        <v>12.34</v>
      </c>
      <c r="E19" s="271"/>
      <c r="K19" s="249"/>
      <c r="L19" s="250"/>
      <c r="O19" s="249"/>
      <c r="P19" s="250"/>
      <c r="V19" s="564">
        <v>12.34</v>
      </c>
      <c r="AG19" s="250"/>
      <c r="AJ19" s="253"/>
      <c r="AK19" s="254"/>
      <c r="AL19" s="250"/>
      <c r="AM19" s="254"/>
      <c r="AQ19" s="249"/>
      <c r="AW19" s="254"/>
      <c r="AX19" s="249"/>
      <c r="AY19" s="254"/>
      <c r="AZ19" s="249"/>
      <c r="BA19" s="254"/>
      <c r="BB19" s="249"/>
      <c r="BE19" s="254"/>
      <c r="BG19" s="249"/>
      <c r="BH19" s="254"/>
      <c r="BN19" s="249"/>
      <c r="BO19" s="250"/>
    </row>
    <row r="20" spans="1:67">
      <c r="K20" s="249"/>
      <c r="L20" s="250"/>
      <c r="O20" s="249"/>
      <c r="P20" s="250"/>
      <c r="V20" s="565"/>
      <c r="AG20" s="250"/>
      <c r="AJ20" s="253"/>
      <c r="AK20" s="254"/>
      <c r="AL20" s="250"/>
      <c r="AM20" s="254"/>
      <c r="AQ20" s="249"/>
      <c r="AW20" s="254"/>
      <c r="AX20" s="249"/>
      <c r="AY20" s="254"/>
      <c r="AZ20" s="249"/>
      <c r="BA20" s="254"/>
      <c r="BB20" s="249"/>
      <c r="BE20" s="254"/>
      <c r="BG20" s="249"/>
      <c r="BH20" s="254"/>
      <c r="BN20" s="249"/>
      <c r="BO20" s="250"/>
    </row>
    <row r="21" spans="1:67" ht="12.75" customHeight="1">
      <c r="A21" s="258" t="s">
        <v>280</v>
      </c>
      <c r="B21" s="259"/>
      <c r="C21" s="272">
        <v>1</v>
      </c>
      <c r="E21" s="273">
        <v>1</v>
      </c>
      <c r="H21" s="249" t="s">
        <v>281</v>
      </c>
      <c r="K21" s="249"/>
      <c r="O21" s="249"/>
      <c r="V21" s="566">
        <v>1</v>
      </c>
      <c r="AG21" s="250"/>
      <c r="AJ21" s="253"/>
      <c r="AK21" s="254"/>
      <c r="AL21" s="250"/>
      <c r="AM21" s="254"/>
      <c r="AQ21" s="249"/>
      <c r="AW21" s="254"/>
      <c r="AX21" s="249"/>
      <c r="AY21" s="254"/>
      <c r="AZ21" s="249"/>
      <c r="BA21" s="254"/>
      <c r="BB21" s="249"/>
      <c r="BE21" s="254"/>
      <c r="BG21" s="249"/>
      <c r="BH21" s="254"/>
      <c r="BN21" s="249"/>
      <c r="BO21" s="250"/>
    </row>
    <row r="22" spans="1:67" ht="12.75" customHeight="1">
      <c r="A22" s="258" t="s">
        <v>282</v>
      </c>
      <c r="B22" s="259" t="s">
        <v>265</v>
      </c>
      <c r="C22" s="272">
        <v>5</v>
      </c>
      <c r="E22" s="274" t="s">
        <v>283</v>
      </c>
      <c r="H22" s="249" t="s">
        <v>284</v>
      </c>
      <c r="K22" s="249"/>
      <c r="O22" s="249"/>
      <c r="V22" s="566">
        <v>5</v>
      </c>
      <c r="AG22" s="250"/>
      <c r="AJ22" s="253"/>
      <c r="AK22" s="254"/>
      <c r="AL22" s="250"/>
      <c r="AM22" s="254"/>
      <c r="AQ22" s="249"/>
      <c r="AW22" s="254"/>
      <c r="AX22" s="249"/>
      <c r="AY22" s="254"/>
      <c r="AZ22" s="249"/>
      <c r="BA22" s="254"/>
      <c r="BB22" s="249"/>
      <c r="BE22" s="254"/>
      <c r="BG22" s="249"/>
      <c r="BH22" s="254"/>
      <c r="BN22" s="249"/>
      <c r="BO22" s="250"/>
    </row>
    <row r="23" spans="1:67" ht="12.75" customHeight="1">
      <c r="E23" s="277"/>
      <c r="F23" s="277"/>
      <c r="G23" s="277"/>
      <c r="K23" s="249"/>
      <c r="O23" s="249"/>
      <c r="V23" s="565"/>
      <c r="AG23" s="250"/>
      <c r="AJ23" s="253"/>
      <c r="AK23" s="254"/>
      <c r="AL23" s="250"/>
      <c r="AM23" s="254"/>
      <c r="AQ23" s="249"/>
      <c r="AW23" s="254"/>
      <c r="AX23" s="249"/>
      <c r="AY23" s="254"/>
      <c r="AZ23" s="249"/>
      <c r="BA23" s="254"/>
      <c r="BB23" s="249"/>
      <c r="BE23" s="254"/>
      <c r="BG23" s="249"/>
      <c r="BH23" s="254"/>
      <c r="BN23" s="249"/>
      <c r="BO23" s="250"/>
    </row>
    <row r="24" spans="1:67" ht="12.75" customHeight="1">
      <c r="A24" s="258" t="s">
        <v>285</v>
      </c>
      <c r="B24" s="259" t="s">
        <v>286</v>
      </c>
      <c r="C24" s="263">
        <f>0.0577*1.143/1.113</f>
        <v>5.9255256064690023E-2</v>
      </c>
      <c r="E24" s="277"/>
      <c r="F24" s="277"/>
      <c r="G24" s="277"/>
      <c r="H24" s="249" t="s">
        <v>287</v>
      </c>
      <c r="K24" s="249"/>
      <c r="O24" s="249"/>
      <c r="V24" s="567">
        <v>5.7700000000000001E-2</v>
      </c>
      <c r="AG24" s="250"/>
      <c r="AJ24" s="253"/>
      <c r="AK24" s="254"/>
      <c r="AL24" s="250"/>
      <c r="AM24" s="254"/>
      <c r="AQ24" s="249"/>
      <c r="AW24" s="254"/>
      <c r="AX24" s="249"/>
      <c r="AY24" s="254"/>
      <c r="AZ24" s="249"/>
      <c r="BA24" s="254"/>
      <c r="BB24" s="249"/>
      <c r="BE24" s="254"/>
      <c r="BG24" s="249"/>
      <c r="BH24" s="254"/>
      <c r="BN24" s="249"/>
      <c r="BO24" s="250"/>
    </row>
    <row r="25" spans="1:67" ht="12.75" customHeight="1">
      <c r="A25" s="258" t="s">
        <v>288</v>
      </c>
      <c r="B25" s="259" t="s">
        <v>289</v>
      </c>
      <c r="C25" s="263">
        <f>0.0379*1.143/1.113</f>
        <v>3.8921563342318062E-2</v>
      </c>
      <c r="E25" s="277"/>
      <c r="F25" s="277"/>
      <c r="G25" s="277"/>
      <c r="H25" s="249" t="s">
        <v>290</v>
      </c>
      <c r="K25" s="249"/>
      <c r="O25" s="249"/>
      <c r="V25" s="567">
        <v>3.7900000000000003E-2</v>
      </c>
      <c r="Y25" s="249"/>
      <c r="Z25" s="249"/>
      <c r="AG25" s="250"/>
      <c r="AJ25" s="253"/>
      <c r="AK25" s="254"/>
      <c r="AL25" s="250"/>
      <c r="AM25" s="254"/>
      <c r="AQ25" s="249"/>
      <c r="AW25" s="254"/>
      <c r="AX25" s="249"/>
      <c r="AY25" s="254"/>
      <c r="AZ25" s="249"/>
      <c r="BA25" s="254"/>
      <c r="BB25" s="249"/>
      <c r="BE25" s="254"/>
      <c r="BG25" s="249"/>
      <c r="BH25" s="254"/>
      <c r="BN25" s="249"/>
      <c r="BO25" s="250"/>
    </row>
    <row r="26" spans="1:67" ht="12.75" customHeight="1">
      <c r="C26" s="275"/>
      <c r="E26" s="277"/>
      <c r="F26" s="277"/>
      <c r="G26" s="277"/>
      <c r="H26" s="249" t="s">
        <v>291</v>
      </c>
      <c r="I26" s="276" t="s">
        <v>292</v>
      </c>
      <c r="J26" s="250"/>
      <c r="K26" s="276" t="s">
        <v>293</v>
      </c>
      <c r="O26" s="249"/>
      <c r="V26" s="568"/>
      <c r="AG26" s="250"/>
      <c r="AJ26" s="253"/>
      <c r="AK26" s="254"/>
      <c r="AL26" s="250"/>
      <c r="AM26" s="254"/>
      <c r="AQ26" s="249"/>
      <c r="AW26" s="254"/>
      <c r="AX26" s="249"/>
      <c r="AY26" s="254"/>
      <c r="AZ26" s="249"/>
      <c r="BA26" s="254"/>
      <c r="BB26" s="249"/>
      <c r="BE26" s="254"/>
      <c r="BG26" s="249"/>
      <c r="BH26" s="254"/>
      <c r="BN26" s="249"/>
      <c r="BO26" s="250"/>
    </row>
    <row r="27" spans="1:67" ht="12.75" customHeight="1">
      <c r="A27" s="258" t="s">
        <v>294</v>
      </c>
      <c r="B27" s="259" t="s">
        <v>295</v>
      </c>
      <c r="C27" s="263">
        <f>0.1004*1.143/1.113</f>
        <v>0.10310619946091644</v>
      </c>
      <c r="E27" s="277"/>
      <c r="F27" s="277"/>
      <c r="G27" s="277"/>
      <c r="K27" s="249"/>
      <c r="L27" s="250"/>
      <c r="O27" s="249"/>
      <c r="P27" s="250"/>
      <c r="V27" s="567">
        <v>0.1004</v>
      </c>
      <c r="AG27" s="250"/>
      <c r="AJ27" s="253"/>
      <c r="AK27" s="254"/>
      <c r="AL27" s="250"/>
      <c r="AM27" s="254"/>
      <c r="AQ27" s="249"/>
      <c r="AW27" s="254"/>
      <c r="AX27" s="249"/>
      <c r="AY27" s="254"/>
      <c r="AZ27" s="249"/>
      <c r="BA27" s="254"/>
      <c r="BB27" s="249"/>
      <c r="BE27" s="254"/>
      <c r="BG27" s="249"/>
      <c r="BH27" s="254"/>
      <c r="BN27" s="249"/>
      <c r="BO27" s="250"/>
    </row>
    <row r="28" spans="1:67" ht="12.75" customHeight="1">
      <c r="A28" s="258" t="s">
        <v>296</v>
      </c>
      <c r="B28" s="259" t="s">
        <v>295</v>
      </c>
      <c r="C28" s="263">
        <f>0.3378*1.143/1.113</f>
        <v>0.34690512129380052</v>
      </c>
      <c r="E28" s="277"/>
      <c r="F28" s="277"/>
      <c r="G28" s="277"/>
      <c r="K28" s="249"/>
      <c r="L28" s="250"/>
      <c r="O28" s="249"/>
      <c r="P28" s="250"/>
      <c r="V28" s="567">
        <v>0.33779999999999999</v>
      </c>
      <c r="AG28" s="250"/>
      <c r="AJ28" s="253"/>
      <c r="AK28" s="254"/>
      <c r="AL28" s="250"/>
      <c r="AM28" s="254"/>
      <c r="AQ28" s="249"/>
      <c r="AW28" s="254"/>
      <c r="AX28" s="249"/>
      <c r="AY28" s="254"/>
      <c r="AZ28" s="249"/>
      <c r="BA28" s="254"/>
      <c r="BB28" s="249"/>
      <c r="BE28" s="254"/>
      <c r="BG28" s="249"/>
      <c r="BH28" s="254"/>
      <c r="BN28" s="249"/>
      <c r="BO28" s="250"/>
    </row>
    <row r="29" spans="1:67" ht="12.75" customHeight="1">
      <c r="E29" s="277"/>
      <c r="F29" s="277"/>
      <c r="G29" s="277"/>
      <c r="K29" s="249"/>
      <c r="L29" s="250"/>
      <c r="O29" s="249"/>
      <c r="P29" s="250"/>
      <c r="V29" s="565"/>
      <c r="AG29" s="250"/>
      <c r="AJ29" s="253"/>
      <c r="AK29" s="254"/>
      <c r="AL29" s="250"/>
      <c r="AM29" s="254"/>
      <c r="AQ29" s="249"/>
      <c r="AW29" s="254"/>
      <c r="AX29" s="249"/>
      <c r="AY29" s="254"/>
      <c r="AZ29" s="249"/>
      <c r="BA29" s="254"/>
      <c r="BB29" s="249"/>
      <c r="BE29" s="254"/>
      <c r="BG29" s="249"/>
      <c r="BH29" s="254"/>
      <c r="BN29" s="249"/>
      <c r="BO29" s="250"/>
    </row>
    <row r="30" spans="1:67" ht="12.75" customHeight="1">
      <c r="A30" s="258" t="s">
        <v>297</v>
      </c>
      <c r="B30" s="259" t="s">
        <v>261</v>
      </c>
      <c r="C30" s="278">
        <f>'DATI UTENTE'!D24</f>
        <v>0</v>
      </c>
      <c r="E30" s="277"/>
      <c r="F30" s="277"/>
      <c r="G30" s="277"/>
      <c r="K30" s="249"/>
      <c r="L30" s="250"/>
      <c r="O30" s="249"/>
      <c r="P30" s="250"/>
      <c r="V30" s="569">
        <f>'DATI UTENTE'!W24</f>
        <v>0</v>
      </c>
      <c r="AG30" s="250"/>
      <c r="AJ30" s="253"/>
      <c r="AK30" s="254"/>
      <c r="AL30" s="250"/>
      <c r="AM30" s="254"/>
      <c r="AQ30" s="249"/>
      <c r="AW30" s="254"/>
      <c r="AX30" s="249"/>
      <c r="AY30" s="254"/>
      <c r="AZ30" s="249"/>
      <c r="BA30" s="254"/>
      <c r="BB30" s="249"/>
      <c r="BE30" s="254"/>
      <c r="BG30" s="249"/>
      <c r="BH30" s="254"/>
      <c r="BN30" s="249"/>
      <c r="BO30" s="250"/>
    </row>
    <row r="31" spans="1:67" ht="12.75" customHeight="1">
      <c r="B31" s="249"/>
      <c r="C31" s="249"/>
      <c r="F31" s="277"/>
      <c r="G31" s="277"/>
      <c r="J31" s="573"/>
      <c r="K31" s="249"/>
      <c r="L31" s="250"/>
      <c r="O31" s="249"/>
      <c r="P31" s="250"/>
      <c r="V31" s="570"/>
      <c r="AG31" s="250"/>
      <c r="AJ31" s="253"/>
      <c r="AK31" s="254"/>
      <c r="AL31" s="250"/>
      <c r="AM31" s="254"/>
      <c r="AQ31" s="249"/>
      <c r="AW31" s="254"/>
      <c r="AX31" s="249"/>
      <c r="AY31" s="254"/>
      <c r="AZ31" s="249"/>
      <c r="BA31" s="254"/>
      <c r="BB31" s="249"/>
      <c r="BE31" s="254"/>
      <c r="BG31" s="249"/>
      <c r="BH31" s="254"/>
      <c r="BN31" s="249"/>
      <c r="BO31" s="250"/>
    </row>
    <row r="32" spans="1:67" ht="12.75" customHeight="1">
      <c r="A32" s="258" t="s">
        <v>298</v>
      </c>
      <c r="B32" s="259" t="s">
        <v>261</v>
      </c>
      <c r="C32" s="279">
        <f>IF(C3&gt;2016,1.1^(C3-2017),1)</f>
        <v>1</v>
      </c>
      <c r="E32" s="277"/>
      <c r="F32" s="277"/>
      <c r="G32" s="277"/>
      <c r="K32" s="249"/>
      <c r="L32" s="250"/>
      <c r="O32" s="249"/>
      <c r="P32" s="250"/>
      <c r="V32" s="571">
        <f>IF(V3&gt;2016,1.1^(V3-2017),1)</f>
        <v>1</v>
      </c>
      <c r="AG32" s="250"/>
      <c r="AJ32" s="253"/>
      <c r="AK32" s="254"/>
      <c r="AL32" s="250"/>
      <c r="AM32" s="254"/>
      <c r="AQ32" s="249"/>
      <c r="AW32" s="254"/>
      <c r="AX32" s="249"/>
      <c r="AY32" s="254"/>
      <c r="AZ32" s="249"/>
      <c r="BA32" s="254"/>
      <c r="BB32" s="249"/>
      <c r="BE32" s="254"/>
      <c r="BG32" s="249"/>
      <c r="BH32" s="254"/>
      <c r="BN32" s="249"/>
      <c r="BO32" s="250"/>
    </row>
    <row r="33" spans="1:67" ht="12.75" customHeight="1">
      <c r="K33" s="249"/>
      <c r="L33" s="250"/>
      <c r="O33" s="249"/>
      <c r="P33" s="250"/>
      <c r="V33" s="565"/>
      <c r="AG33" s="250"/>
      <c r="AJ33" s="253"/>
      <c r="AK33" s="254"/>
      <c r="AL33" s="250"/>
      <c r="AM33" s="254"/>
      <c r="AQ33" s="249"/>
      <c r="AW33" s="254"/>
      <c r="AX33" s="249"/>
      <c r="AY33" s="254"/>
      <c r="AZ33" s="249"/>
      <c r="BA33" s="254"/>
      <c r="BB33" s="249"/>
      <c r="BE33" s="254"/>
      <c r="BG33" s="249"/>
      <c r="BH33" s="254"/>
      <c r="BN33" s="249"/>
      <c r="BO33" s="250"/>
    </row>
    <row r="34" spans="1:67" ht="12.75" customHeight="1">
      <c r="A34" s="258" t="s">
        <v>299</v>
      </c>
      <c r="B34" s="259" t="s">
        <v>300</v>
      </c>
      <c r="C34" s="280">
        <v>160</v>
      </c>
      <c r="E34" s="281">
        <v>160</v>
      </c>
      <c r="K34" s="249"/>
      <c r="L34" s="250"/>
      <c r="O34" s="249"/>
      <c r="P34" s="250"/>
      <c r="V34" s="572">
        <v>160</v>
      </c>
      <c r="AG34" s="250"/>
      <c r="AJ34" s="253"/>
      <c r="AK34" s="254"/>
      <c r="AL34" s="250"/>
      <c r="AM34" s="254"/>
      <c r="AQ34" s="249"/>
      <c r="AW34" s="254"/>
      <c r="AX34" s="249"/>
      <c r="AY34" s="254"/>
      <c r="AZ34" s="249"/>
      <c r="BA34" s="254"/>
      <c r="BB34" s="249"/>
      <c r="BE34" s="254"/>
      <c r="BG34" s="249"/>
      <c r="BH34" s="254"/>
      <c r="BN34" s="249"/>
      <c r="BO34" s="250"/>
    </row>
    <row r="35" spans="1:67" ht="12.75" customHeight="1">
      <c r="A35" s="258" t="s">
        <v>301</v>
      </c>
      <c r="B35" s="259" t="s">
        <v>300</v>
      </c>
      <c r="C35" s="280">
        <v>80</v>
      </c>
      <c r="E35" s="281">
        <v>80</v>
      </c>
      <c r="K35" s="249"/>
      <c r="L35" s="250"/>
      <c r="O35" s="249"/>
      <c r="P35" s="250"/>
      <c r="V35" s="572">
        <v>80</v>
      </c>
      <c r="AG35" s="250"/>
      <c r="AJ35" s="253"/>
      <c r="AK35" s="254"/>
      <c r="AL35" s="250"/>
      <c r="AM35" s="254"/>
      <c r="AQ35" s="249"/>
      <c r="AW35" s="254"/>
      <c r="AX35" s="249"/>
      <c r="AY35" s="254"/>
      <c r="AZ35" s="249"/>
      <c r="BA35" s="254"/>
      <c r="BB35" s="249"/>
      <c r="BE35" s="254"/>
      <c r="BG35" s="249"/>
      <c r="BH35" s="254"/>
      <c r="BN35" s="249"/>
      <c r="BO35" s="250"/>
    </row>
    <row r="36" spans="1:67" ht="12.75" customHeight="1">
      <c r="A36" s="258" t="s">
        <v>302</v>
      </c>
      <c r="B36" s="259" t="s">
        <v>300</v>
      </c>
      <c r="C36" s="280">
        <v>10</v>
      </c>
      <c r="E36" s="281">
        <v>10</v>
      </c>
      <c r="K36" s="249"/>
      <c r="L36" s="250"/>
      <c r="O36" s="249"/>
      <c r="P36" s="250"/>
      <c r="V36" s="572">
        <v>10</v>
      </c>
      <c r="AG36" s="250"/>
      <c r="AJ36" s="253"/>
      <c r="AK36" s="254"/>
      <c r="AL36" s="250"/>
      <c r="AM36" s="254"/>
      <c r="AQ36" s="249"/>
      <c r="AW36" s="254"/>
      <c r="AX36" s="249"/>
      <c r="AY36" s="254"/>
      <c r="AZ36" s="249"/>
      <c r="BA36" s="254"/>
      <c r="BB36" s="249"/>
      <c r="BE36" s="254"/>
      <c r="BG36" s="249"/>
      <c r="BH36" s="254"/>
      <c r="BN36" s="249"/>
      <c r="BO36" s="250"/>
    </row>
    <row r="37" spans="1:67" ht="12.75" customHeight="1">
      <c r="A37" s="258" t="s">
        <v>303</v>
      </c>
      <c r="B37" s="259" t="s">
        <v>300</v>
      </c>
      <c r="C37" s="280">
        <v>1</v>
      </c>
      <c r="E37" s="281">
        <v>1</v>
      </c>
      <c r="J37" s="254" t="str">
        <f>"QFges.= "&amp;ROUND(C14,2)&amp;" €/a; QFmis="&amp;ROUND(C15,2)&amp;" €/a; QFcamp="&amp;ROUND(C16,2)&amp;" €/a; QFtel="&amp;ROUND(C17,2)&amp;" €/a; Qfvol="&amp;ROUND(C24,4)&amp;" €/m3"</f>
        <v>QFges.= 51,35 €/a; QFmis=154,04 €/a; QFcamp=462,13 €/a; QFtel=308,09 €/a; Qfvol=0,0593 €/m3</v>
      </c>
      <c r="K37" s="249"/>
      <c r="L37" s="250"/>
      <c r="O37" s="249"/>
      <c r="P37" s="250"/>
      <c r="V37" s="572">
        <v>1</v>
      </c>
      <c r="AG37" s="250"/>
      <c r="AJ37" s="253"/>
      <c r="AK37" s="254"/>
      <c r="AL37" s="250"/>
      <c r="AM37" s="254"/>
      <c r="AQ37" s="249"/>
      <c r="AW37" s="254"/>
      <c r="AX37" s="249"/>
      <c r="AY37" s="254"/>
      <c r="AZ37" s="249"/>
      <c r="BA37" s="254"/>
      <c r="BB37" s="249"/>
      <c r="BE37" s="254"/>
      <c r="BG37" s="249"/>
      <c r="BH37" s="254"/>
      <c r="BN37" s="249"/>
      <c r="BO37" s="250"/>
    </row>
    <row r="38" spans="1:67" ht="12.75" customHeight="1">
      <c r="A38" s="258" t="s">
        <v>304</v>
      </c>
      <c r="B38" s="259" t="s">
        <v>300</v>
      </c>
      <c r="C38" s="280">
        <v>40</v>
      </c>
      <c r="E38" s="281">
        <v>40</v>
      </c>
      <c r="J38" s="254" t="str">
        <f>"Td capacità= "&amp;ROUND(C25,4)&amp;" €/kg; Quota capacità Sqc="&amp;ROUND(C22,4)&amp;" %;"</f>
        <v>Td capacità= 0,0389 €/kg; Quota capacità Sqc=5 %;</v>
      </c>
      <c r="K38" s="249"/>
      <c r="L38" s="250"/>
      <c r="O38" s="249"/>
      <c r="P38" s="250"/>
      <c r="V38" s="572">
        <v>40</v>
      </c>
      <c r="AG38" s="250"/>
      <c r="AJ38" s="253"/>
      <c r="AK38" s="254"/>
      <c r="AL38" s="250"/>
      <c r="AM38" s="254"/>
      <c r="AQ38" s="249"/>
      <c r="AW38" s="254"/>
      <c r="AX38" s="249"/>
      <c r="AY38" s="254"/>
      <c r="AZ38" s="249"/>
      <c r="BA38" s="254"/>
      <c r="BB38" s="249"/>
      <c r="BE38" s="254"/>
      <c r="BG38" s="249"/>
      <c r="BH38" s="254"/>
      <c r="BN38" s="249"/>
      <c r="BO38" s="250"/>
    </row>
    <row r="39" spans="1:67" ht="12.75" customHeight="1">
      <c r="A39" s="258" t="s">
        <v>305</v>
      </c>
      <c r="B39" s="259" t="s">
        <v>306</v>
      </c>
      <c r="C39" s="280">
        <v>20</v>
      </c>
      <c r="E39" s="281">
        <v>20</v>
      </c>
      <c r="J39" s="254" t="str">
        <f>"Tfognatura="&amp;ROUND(C27,4)&amp;" €/m3; Tdepurazione="&amp;ROUND(C28,4)&amp;" €/m3;"</f>
        <v>Tfognatura=0,1031 €/m3; Tdepurazione=0,3469 €/m3;</v>
      </c>
      <c r="K39" s="249"/>
      <c r="L39" s="250"/>
      <c r="O39" s="249"/>
      <c r="P39" s="250"/>
      <c r="V39" s="572">
        <v>20</v>
      </c>
      <c r="AG39" s="250"/>
      <c r="AJ39" s="253"/>
      <c r="AK39" s="254"/>
      <c r="AL39" s="250"/>
      <c r="AM39" s="254"/>
      <c r="AQ39" s="249"/>
      <c r="AW39" s="254"/>
      <c r="AX39" s="249"/>
      <c r="AY39" s="254"/>
      <c r="AZ39" s="249"/>
      <c r="BA39" s="254"/>
      <c r="BB39" s="249"/>
      <c r="BE39" s="254"/>
      <c r="BG39" s="249"/>
      <c r="BH39" s="254"/>
      <c r="BN39" s="249"/>
      <c r="BO39" s="250"/>
    </row>
    <row r="40" spans="1:67" ht="12.75" customHeight="1">
      <c r="E40" s="281" t="s">
        <v>307</v>
      </c>
      <c r="F40" s="281" t="s">
        <v>308</v>
      </c>
      <c r="G40" s="281" t="s">
        <v>309</v>
      </c>
      <c r="J40" s="254" t="str">
        <f>"COD= "&amp;C34&amp;" mg/l; SST="&amp;C35&amp;" mg/l; N="&amp;C36&amp;"; P="&amp;C37&amp;" mg/l; BOD="&amp;C38&amp;" mg/l; Colore= diluizioni 1:"&amp;C39&amp;";"</f>
        <v>COD= 160 mg/l; SST=80 mg/l; N=10; P=1 mg/l; BOD=40 mg/l; Colore= diluizioni 1:20;</v>
      </c>
      <c r="K40" s="249"/>
      <c r="L40" s="250"/>
      <c r="O40" s="249"/>
      <c r="P40" s="250"/>
      <c r="V40" s="565"/>
      <c r="AG40" s="250"/>
      <c r="AJ40" s="253"/>
      <c r="AK40" s="254"/>
      <c r="AL40" s="250"/>
      <c r="AM40" s="254"/>
      <c r="AQ40" s="249"/>
      <c r="AW40" s="254"/>
      <c r="AX40" s="249"/>
      <c r="AY40" s="254"/>
      <c r="AZ40" s="249"/>
      <c r="BA40" s="254"/>
      <c r="BB40" s="249"/>
      <c r="BE40" s="254"/>
      <c r="BG40" s="249"/>
      <c r="BH40" s="254"/>
      <c r="BN40" s="249"/>
      <c r="BO40" s="250"/>
    </row>
    <row r="41" spans="1:67" ht="12.75" customHeight="1">
      <c r="A41" s="282" t="s">
        <v>310</v>
      </c>
      <c r="B41" s="259" t="s">
        <v>265</v>
      </c>
      <c r="C41" s="280">
        <v>57</v>
      </c>
      <c r="E41" s="281">
        <v>52</v>
      </c>
      <c r="F41" s="281">
        <v>47</v>
      </c>
      <c r="G41" s="281">
        <v>57</v>
      </c>
      <c r="J41" s="254" t="str">
        <f>"%COD= "&amp;C41&amp;"; %SST="&amp;C42&amp;"; %N="&amp;C43&amp;"; %P="&amp;C44&amp;"; %BOD="&amp;C46&amp;"; %Colore="&amp;C47</f>
        <v>%COD= 57; %SST=25; %N=13; %P=5; %BOD=-7; %Colore=20</v>
      </c>
      <c r="K41" s="249"/>
      <c r="L41" s="250"/>
      <c r="O41" s="249"/>
      <c r="P41" s="250"/>
      <c r="V41" s="572">
        <v>57</v>
      </c>
      <c r="AG41" s="250"/>
      <c r="AJ41" s="253"/>
      <c r="AK41" s="254"/>
      <c r="AL41" s="250"/>
      <c r="AM41" s="254"/>
      <c r="AQ41" s="249"/>
      <c r="AW41" s="254"/>
      <c r="AX41" s="249"/>
      <c r="AY41" s="254"/>
      <c r="AZ41" s="249"/>
      <c r="BA41" s="254"/>
      <c r="BB41" s="249"/>
      <c r="BE41" s="254"/>
      <c r="BG41" s="249"/>
      <c r="BH41" s="254"/>
      <c r="BN41" s="249"/>
      <c r="BO41" s="250"/>
    </row>
    <row r="42" spans="1:67" ht="12.75" customHeight="1">
      <c r="A42" s="405" t="s">
        <v>311</v>
      </c>
      <c r="B42" s="259" t="s">
        <v>265</v>
      </c>
      <c r="C42" s="280">
        <v>25</v>
      </c>
      <c r="E42" s="281">
        <v>28</v>
      </c>
      <c r="F42" s="281">
        <v>25</v>
      </c>
      <c r="G42" s="281">
        <v>31</v>
      </c>
      <c r="J42" s="254" t="str">
        <f>"Massimo incremento Tariffa - Coefficente imax= "&amp;C32&amp;";"</f>
        <v>Massimo incremento Tariffa - Coefficente imax= 1;</v>
      </c>
      <c r="K42" s="249"/>
      <c r="L42" s="250"/>
      <c r="O42" s="249"/>
      <c r="P42" s="250"/>
      <c r="V42" s="572">
        <v>25</v>
      </c>
      <c r="AG42" s="250"/>
      <c r="AJ42" s="253"/>
      <c r="AK42" s="254"/>
      <c r="AL42" s="250"/>
      <c r="AM42" s="254"/>
      <c r="AQ42" s="249"/>
      <c r="AW42" s="254"/>
      <c r="AX42" s="249"/>
      <c r="AY42" s="254"/>
      <c r="AZ42" s="249"/>
      <c r="BA42" s="254"/>
      <c r="BB42" s="249"/>
      <c r="BE42" s="254"/>
      <c r="BG42" s="249"/>
      <c r="BH42" s="254"/>
      <c r="BN42" s="249"/>
      <c r="BO42" s="250"/>
    </row>
    <row r="43" spans="1:67" ht="12.75" customHeight="1">
      <c r="A43" s="282" t="s">
        <v>312</v>
      </c>
      <c r="B43" s="259" t="s">
        <v>265</v>
      </c>
      <c r="C43" s="280">
        <v>13</v>
      </c>
      <c r="E43" s="281">
        <v>15</v>
      </c>
      <c r="F43" s="281">
        <v>13</v>
      </c>
      <c r="G43" s="281">
        <v>17</v>
      </c>
      <c r="K43" s="249"/>
      <c r="L43" s="250"/>
      <c r="O43" s="249"/>
      <c r="P43" s="250"/>
      <c r="V43" s="572">
        <v>13</v>
      </c>
      <c r="AG43" s="250"/>
      <c r="AJ43" s="253"/>
      <c r="AK43" s="254"/>
      <c r="AL43" s="250"/>
      <c r="AM43" s="254"/>
      <c r="AQ43" s="249"/>
      <c r="AW43" s="254"/>
      <c r="AX43" s="249"/>
      <c r="AY43" s="254"/>
      <c r="AZ43" s="249"/>
      <c r="BA43" s="254"/>
      <c r="BB43" s="249"/>
      <c r="BE43" s="254"/>
      <c r="BG43" s="249"/>
      <c r="BH43" s="254"/>
      <c r="BN43" s="249"/>
      <c r="BO43" s="250"/>
    </row>
    <row r="44" spans="1:67" ht="12.75" customHeight="1">
      <c r="A44" s="282" t="s">
        <v>313</v>
      </c>
      <c r="B44" s="259" t="s">
        <v>265</v>
      </c>
      <c r="C44" s="280">
        <v>5</v>
      </c>
      <c r="E44" s="281">
        <v>5</v>
      </c>
      <c r="F44" s="281">
        <v>4</v>
      </c>
      <c r="G44" s="281">
        <v>6</v>
      </c>
      <c r="K44" s="249"/>
      <c r="L44" s="250"/>
      <c r="O44" s="249"/>
      <c r="P44" s="250"/>
      <c r="V44" s="572">
        <v>5</v>
      </c>
      <c r="AG44" s="250"/>
      <c r="AJ44" s="253"/>
      <c r="AK44" s="254"/>
      <c r="AL44" s="250"/>
      <c r="AM44" s="254"/>
      <c r="AQ44" s="249"/>
      <c r="AW44" s="254"/>
      <c r="AX44" s="249"/>
      <c r="AY44" s="254"/>
      <c r="AZ44" s="249"/>
      <c r="BA44" s="254"/>
      <c r="BB44" s="249"/>
      <c r="BE44" s="254"/>
      <c r="BG44" s="249"/>
      <c r="BH44" s="254"/>
      <c r="BN44" s="249"/>
      <c r="BO44" s="250"/>
    </row>
    <row r="45" spans="1:67">
      <c r="C45" s="267">
        <f>SUM(C41:C44)</f>
        <v>100</v>
      </c>
      <c r="E45" s="283" t="s">
        <v>314</v>
      </c>
      <c r="F45" s="284"/>
      <c r="G45" s="285"/>
      <c r="K45" s="249"/>
      <c r="L45" s="250"/>
      <c r="O45" s="249"/>
      <c r="P45" s="250"/>
      <c r="V45" s="563">
        <f>SUM(V41:V44)</f>
        <v>100</v>
      </c>
      <c r="AG45" s="250"/>
      <c r="AJ45" s="253"/>
      <c r="AK45" s="254"/>
      <c r="AL45" s="250"/>
      <c r="AM45" s="254"/>
      <c r="AQ45" s="249"/>
      <c r="AW45" s="254"/>
      <c r="AX45" s="249"/>
      <c r="AY45" s="254"/>
      <c r="AZ45" s="249"/>
      <c r="BA45" s="254"/>
      <c r="BB45" s="249"/>
      <c r="BE45" s="254"/>
      <c r="BG45" s="249"/>
      <c r="BH45" s="254"/>
      <c r="BN45" s="249"/>
      <c r="BO45" s="250"/>
    </row>
    <row r="46" spans="1:67" ht="12.75" customHeight="1">
      <c r="A46" s="282" t="s">
        <v>315</v>
      </c>
      <c r="B46" s="259" t="s">
        <v>265</v>
      </c>
      <c r="C46" s="280">
        <v>-7</v>
      </c>
      <c r="E46" s="276"/>
      <c r="F46" s="276"/>
      <c r="G46" s="276"/>
      <c r="K46" s="249"/>
      <c r="L46" s="250"/>
      <c r="O46" s="249"/>
      <c r="P46" s="250"/>
      <c r="V46" s="572">
        <v>-7</v>
      </c>
      <c r="AG46" s="250"/>
      <c r="AJ46" s="253"/>
      <c r="AK46" s="254"/>
      <c r="AL46" s="250"/>
      <c r="AM46" s="254"/>
      <c r="AQ46" s="249"/>
      <c r="AW46" s="254"/>
      <c r="AX46" s="249"/>
      <c r="AY46" s="254"/>
      <c r="AZ46" s="249"/>
      <c r="BA46" s="254"/>
      <c r="BB46" s="249"/>
      <c r="BE46" s="254"/>
      <c r="BG46" s="249"/>
      <c r="BH46" s="254"/>
      <c r="BN46" s="249"/>
      <c r="BO46" s="250"/>
    </row>
    <row r="47" spans="1:67" ht="12.75" customHeight="1">
      <c r="A47" s="282" t="s">
        <v>316</v>
      </c>
      <c r="B47" s="259" t="s">
        <v>265</v>
      </c>
      <c r="C47" s="280">
        <v>20</v>
      </c>
      <c r="E47" s="276"/>
      <c r="F47" s="276"/>
      <c r="G47" s="276"/>
      <c r="K47" s="249"/>
      <c r="L47" s="250"/>
      <c r="O47" s="249"/>
      <c r="P47" s="250"/>
      <c r="V47" s="572">
        <v>20</v>
      </c>
      <c r="AG47" s="250"/>
      <c r="AJ47" s="253"/>
      <c r="AK47" s="254"/>
      <c r="AL47" s="250"/>
      <c r="AM47" s="254"/>
      <c r="AQ47" s="249"/>
      <c r="AW47" s="254"/>
      <c r="AX47" s="249"/>
      <c r="AY47" s="254"/>
      <c r="AZ47" s="249"/>
      <c r="BA47" s="254"/>
      <c r="BB47" s="249"/>
      <c r="BE47" s="254"/>
      <c r="BG47" s="249"/>
      <c r="BH47" s="254"/>
      <c r="BN47" s="249"/>
      <c r="BO47" s="250"/>
    </row>
    <row r="48" spans="1:67">
      <c r="C48" s="267">
        <f>SUM(C46:C47)</f>
        <v>13</v>
      </c>
      <c r="E48" s="286" t="s">
        <v>317</v>
      </c>
      <c r="F48" s="276"/>
      <c r="G48" s="276"/>
      <c r="K48" s="249"/>
      <c r="L48" s="250"/>
      <c r="O48" s="249"/>
      <c r="P48" s="250"/>
      <c r="V48" s="563">
        <f>SUM(V46:V47)</f>
        <v>13</v>
      </c>
      <c r="AG48" s="250"/>
      <c r="AJ48" s="253"/>
      <c r="AK48" s="254"/>
      <c r="AL48" s="250"/>
      <c r="AM48" s="254"/>
      <c r="AQ48" s="249"/>
      <c r="AW48" s="254"/>
      <c r="AX48" s="249"/>
      <c r="AY48" s="254"/>
      <c r="AZ48" s="249"/>
      <c r="BA48" s="254"/>
      <c r="BB48" s="249"/>
      <c r="BE48" s="254"/>
      <c r="BG48" s="249"/>
      <c r="BH48" s="254"/>
      <c r="BN48" s="249"/>
      <c r="BO48" s="534" t="s">
        <v>618</v>
      </c>
    </row>
    <row r="49" spans="1:105">
      <c r="K49" s="249"/>
      <c r="L49" s="250"/>
      <c r="O49" s="249"/>
      <c r="P49" s="250"/>
      <c r="AG49" s="250"/>
      <c r="AJ49" s="253"/>
      <c r="AK49" s="254"/>
      <c r="AL49" s="250"/>
      <c r="AM49" s="254"/>
      <c r="AQ49" s="249"/>
      <c r="AW49" s="254"/>
      <c r="AX49" s="249"/>
      <c r="AY49" s="254"/>
      <c r="AZ49" s="249"/>
      <c r="BA49" s="254"/>
      <c r="BB49" s="249"/>
      <c r="BE49" s="254"/>
      <c r="BG49" s="249"/>
      <c r="BH49" s="254"/>
      <c r="BN49" s="249"/>
      <c r="BO49" s="250"/>
    </row>
    <row r="50" spans="1:105" ht="12.75" customHeight="1">
      <c r="C50" s="287"/>
      <c r="D50" s="612" t="s">
        <v>318</v>
      </c>
      <c r="E50" s="612"/>
      <c r="F50" s="612"/>
      <c r="G50" s="612"/>
      <c r="H50" s="612"/>
      <c r="I50" s="612"/>
      <c r="J50" s="612"/>
      <c r="L50" s="612" t="s">
        <v>319</v>
      </c>
      <c r="M50" s="612"/>
      <c r="N50" s="612"/>
      <c r="P50" s="612" t="s">
        <v>320</v>
      </c>
      <c r="Q50" s="612"/>
      <c r="R50" s="612"/>
      <c r="S50" s="612"/>
      <c r="T50" s="612"/>
      <c r="U50" s="612"/>
      <c r="V50" s="612"/>
      <c r="W50" s="288"/>
      <c r="X50" s="613" t="s">
        <v>321</v>
      </c>
      <c r="Y50" s="614"/>
      <c r="Z50" s="614"/>
      <c r="AA50" s="614"/>
      <c r="AB50" s="614"/>
      <c r="AC50" s="615" t="s">
        <v>322</v>
      </c>
      <c r="AD50" s="615"/>
      <c r="AE50" s="615"/>
      <c r="AF50" s="615"/>
      <c r="AG50" s="615" t="s">
        <v>323</v>
      </c>
      <c r="AH50" s="615"/>
      <c r="AI50" s="615"/>
      <c r="AJ50" s="615"/>
      <c r="AK50" s="615"/>
      <c r="AL50" s="615"/>
      <c r="AM50" s="615"/>
      <c r="AN50" s="611" t="s">
        <v>324</v>
      </c>
      <c r="AO50" s="611"/>
      <c r="AP50" s="611"/>
      <c r="AQ50" s="611"/>
      <c r="AR50" s="611"/>
      <c r="AS50" s="611"/>
      <c r="AT50" s="611"/>
      <c r="AU50" s="611"/>
      <c r="AV50" s="611"/>
      <c r="AW50" s="611"/>
      <c r="AX50" s="611"/>
      <c r="AY50" s="611"/>
      <c r="AZ50" s="611"/>
      <c r="BA50" s="611"/>
      <c r="BB50" s="249"/>
      <c r="BC50" s="611" t="s">
        <v>325</v>
      </c>
      <c r="BD50" s="611"/>
      <c r="BE50" s="611"/>
      <c r="BF50" s="611"/>
      <c r="BG50" s="611"/>
      <c r="BI50" s="611" t="s">
        <v>326</v>
      </c>
      <c r="BJ50" s="611"/>
      <c r="BK50" s="611"/>
      <c r="BL50" s="611"/>
      <c r="BN50" s="609" t="s">
        <v>327</v>
      </c>
      <c r="BO50" s="609"/>
      <c r="BP50" s="609"/>
      <c r="BQ50" s="609"/>
      <c r="BR50" s="609"/>
      <c r="BS50" s="609"/>
      <c r="BT50" s="609"/>
      <c r="BU50" s="609"/>
      <c r="BW50" s="609" t="s">
        <v>328</v>
      </c>
      <c r="BX50" s="609"/>
      <c r="BY50" s="609"/>
      <c r="BZ50" s="609"/>
      <c r="CA50" s="609"/>
      <c r="CB50" s="609"/>
      <c r="CC50" s="609"/>
      <c r="CD50" s="609"/>
      <c r="CE50" s="609"/>
      <c r="CF50" s="609"/>
      <c r="CH50" s="610" t="s">
        <v>329</v>
      </c>
      <c r="CI50" s="610"/>
      <c r="CJ50" s="610"/>
      <c r="CK50" s="610"/>
      <c r="CL50" s="610"/>
      <c r="CM50" s="610"/>
      <c r="CN50" s="610"/>
      <c r="CO50" s="610"/>
      <c r="CP50" s="610"/>
      <c r="CQ50" s="610"/>
      <c r="CS50" s="611" t="s">
        <v>330</v>
      </c>
      <c r="CT50" s="611"/>
      <c r="CU50" s="611"/>
      <c r="CV50" s="611"/>
      <c r="CW50" s="611"/>
      <c r="CX50" s="611"/>
      <c r="CY50" s="611"/>
      <c r="CZ50" s="611"/>
      <c r="DA50" s="611"/>
    </row>
    <row r="51" spans="1:105" s="300" customFormat="1" ht="14.25">
      <c r="A51" s="289" t="s">
        <v>331</v>
      </c>
      <c r="B51" s="289" t="s">
        <v>332</v>
      </c>
      <c r="C51" s="289"/>
      <c r="D51" s="290" t="s">
        <v>333</v>
      </c>
      <c r="E51" s="290" t="s">
        <v>334</v>
      </c>
      <c r="F51" s="290" t="s">
        <v>335</v>
      </c>
      <c r="G51" s="290" t="s">
        <v>336</v>
      </c>
      <c r="H51" s="290" t="s">
        <v>337</v>
      </c>
      <c r="I51" s="290" t="s">
        <v>338</v>
      </c>
      <c r="J51" s="290" t="s">
        <v>339</v>
      </c>
      <c r="K51" s="250"/>
      <c r="L51" s="291" t="s">
        <v>340</v>
      </c>
      <c r="M51" s="291" t="s">
        <v>341</v>
      </c>
      <c r="N51" s="291" t="s">
        <v>342</v>
      </c>
      <c r="O51" s="250"/>
      <c r="P51" s="290" t="s">
        <v>343</v>
      </c>
      <c r="Q51" s="290" t="s">
        <v>344</v>
      </c>
      <c r="R51" s="290" t="s">
        <v>345</v>
      </c>
      <c r="S51" s="290" t="s">
        <v>346</v>
      </c>
      <c r="T51" s="290" t="s">
        <v>337</v>
      </c>
      <c r="U51" s="290" t="s">
        <v>338</v>
      </c>
      <c r="V51" s="290" t="s">
        <v>347</v>
      </c>
      <c r="W51" s="288"/>
      <c r="X51" s="292" t="s">
        <v>0</v>
      </c>
      <c r="Y51" s="292" t="s">
        <v>348</v>
      </c>
      <c r="Z51" s="292" t="s">
        <v>349</v>
      </c>
      <c r="AA51" s="292" t="s">
        <v>350</v>
      </c>
      <c r="AB51" s="293" t="s">
        <v>351</v>
      </c>
      <c r="AC51" s="536" t="s">
        <v>352</v>
      </c>
      <c r="AD51" s="294" t="s">
        <v>353</v>
      </c>
      <c r="AE51" s="294" t="s">
        <v>354</v>
      </c>
      <c r="AF51" s="294" t="s">
        <v>355</v>
      </c>
      <c r="AG51" s="295" t="s">
        <v>0</v>
      </c>
      <c r="AH51" s="295" t="s">
        <v>349</v>
      </c>
      <c r="AI51" s="295" t="s">
        <v>349</v>
      </c>
      <c r="AJ51" s="295" t="s">
        <v>356</v>
      </c>
      <c r="AK51" s="295" t="s">
        <v>356</v>
      </c>
      <c r="AL51" s="296" t="s">
        <v>357</v>
      </c>
      <c r="AM51" s="297" t="s">
        <v>358</v>
      </c>
      <c r="AN51" s="289" t="s">
        <v>359</v>
      </c>
      <c r="AO51" s="289" t="s">
        <v>360</v>
      </c>
      <c r="AP51" s="298" t="s">
        <v>361</v>
      </c>
      <c r="AQ51" s="299" t="s">
        <v>362</v>
      </c>
      <c r="AR51" s="299" t="s">
        <v>363</v>
      </c>
      <c r="AS51" s="297" t="s">
        <v>364</v>
      </c>
      <c r="AT51" s="297" t="s">
        <v>365</v>
      </c>
      <c r="AU51" s="297" t="s">
        <v>366</v>
      </c>
      <c r="AV51" s="297" t="s">
        <v>367</v>
      </c>
      <c r="AW51" s="297" t="s">
        <v>368</v>
      </c>
      <c r="AX51" s="289" t="s">
        <v>369</v>
      </c>
      <c r="AY51" s="297" t="s">
        <v>370</v>
      </c>
      <c r="AZ51" s="289" t="s">
        <v>371</v>
      </c>
      <c r="BA51" s="297" t="s">
        <v>372</v>
      </c>
      <c r="BC51" s="301" t="s">
        <v>373</v>
      </c>
      <c r="BD51" s="301" t="s">
        <v>374</v>
      </c>
      <c r="BE51" s="301" t="s">
        <v>375</v>
      </c>
      <c r="BF51" s="301" t="s">
        <v>375</v>
      </c>
      <c r="BG51" s="301" t="s">
        <v>376</v>
      </c>
      <c r="BI51" s="289" t="s">
        <v>377</v>
      </c>
      <c r="BJ51" s="289" t="s">
        <v>378</v>
      </c>
      <c r="BK51" s="289" t="s">
        <v>379</v>
      </c>
      <c r="BL51" s="289" t="s">
        <v>380</v>
      </c>
      <c r="BN51" s="295" t="s">
        <v>381</v>
      </c>
      <c r="BO51" s="295" t="s">
        <v>382</v>
      </c>
      <c r="BP51" s="295" t="s">
        <v>383</v>
      </c>
      <c r="BQ51" s="289" t="s">
        <v>384</v>
      </c>
      <c r="BR51" s="289" t="s">
        <v>385</v>
      </c>
      <c r="BS51" s="289" t="s">
        <v>386</v>
      </c>
      <c r="BT51" s="296" t="s">
        <v>387</v>
      </c>
      <c r="BU51" s="296" t="s">
        <v>388</v>
      </c>
      <c r="BV51" s="302"/>
      <c r="BW51" s="289" t="s">
        <v>379</v>
      </c>
      <c r="BX51" s="289" t="s">
        <v>380</v>
      </c>
      <c r="BY51" s="289" t="s">
        <v>389</v>
      </c>
      <c r="BZ51" s="296" t="s">
        <v>390</v>
      </c>
      <c r="CA51" s="296" t="s">
        <v>391</v>
      </c>
      <c r="CB51" s="303" t="s">
        <v>352</v>
      </c>
      <c r="CC51" s="303" t="s">
        <v>353</v>
      </c>
      <c r="CD51" s="303" t="s">
        <v>354</v>
      </c>
      <c r="CE51" s="303" t="s">
        <v>355</v>
      </c>
      <c r="CF51" s="296" t="s">
        <v>392</v>
      </c>
      <c r="CG51" s="302"/>
      <c r="CH51" s="289" t="s">
        <v>393</v>
      </c>
      <c r="CI51" s="289" t="s">
        <v>394</v>
      </c>
      <c r="CJ51" s="289" t="s">
        <v>395</v>
      </c>
      <c r="CK51" s="296" t="s">
        <v>396</v>
      </c>
      <c r="CL51" s="296" t="s">
        <v>397</v>
      </c>
      <c r="CM51" s="303" t="s">
        <v>352</v>
      </c>
      <c r="CN51" s="303" t="s">
        <v>353</v>
      </c>
      <c r="CO51" s="303" t="s">
        <v>354</v>
      </c>
      <c r="CP51" s="303" t="s">
        <v>355</v>
      </c>
      <c r="CQ51" s="296" t="s">
        <v>398</v>
      </c>
      <c r="CS51" s="296" t="s">
        <v>399</v>
      </c>
      <c r="CT51" s="296" t="s">
        <v>400</v>
      </c>
      <c r="CU51" s="296" t="s">
        <v>401</v>
      </c>
      <c r="CV51" s="296" t="s">
        <v>402</v>
      </c>
      <c r="CW51" s="296" t="s">
        <v>403</v>
      </c>
      <c r="CX51" s="296" t="s">
        <v>404</v>
      </c>
      <c r="CY51" s="296" t="s">
        <v>405</v>
      </c>
      <c r="CZ51" s="296" t="s">
        <v>406</v>
      </c>
      <c r="DA51" s="296" t="s">
        <v>407</v>
      </c>
    </row>
    <row r="52" spans="1:105" ht="14.25">
      <c r="A52" s="304"/>
      <c r="B52" s="305"/>
      <c r="C52" s="305"/>
      <c r="D52" s="306" t="s">
        <v>408</v>
      </c>
      <c r="E52" s="306" t="s">
        <v>300</v>
      </c>
      <c r="F52" s="306" t="s">
        <v>300</v>
      </c>
      <c r="G52" s="306" t="s">
        <v>300</v>
      </c>
      <c r="H52" s="306" t="s">
        <v>300</v>
      </c>
      <c r="I52" s="306" t="s">
        <v>300</v>
      </c>
      <c r="J52" s="306" t="s">
        <v>306</v>
      </c>
      <c r="L52" s="307" t="s">
        <v>261</v>
      </c>
      <c r="M52" s="307" t="s">
        <v>261</v>
      </c>
      <c r="N52" s="307" t="s">
        <v>261</v>
      </c>
      <c r="P52" s="306" t="s">
        <v>408</v>
      </c>
      <c r="Q52" s="306" t="s">
        <v>300</v>
      </c>
      <c r="R52" s="306" t="s">
        <v>300</v>
      </c>
      <c r="S52" s="306" t="s">
        <v>300</v>
      </c>
      <c r="T52" s="306" t="s">
        <v>300</v>
      </c>
      <c r="U52" s="306" t="s">
        <v>300</v>
      </c>
      <c r="V52" s="306" t="s">
        <v>306</v>
      </c>
      <c r="W52" s="288"/>
      <c r="X52" s="308" t="s">
        <v>286</v>
      </c>
      <c r="Y52" s="308" t="s">
        <v>286</v>
      </c>
      <c r="Z52" s="308" t="s">
        <v>286</v>
      </c>
      <c r="AA52" s="308" t="s">
        <v>286</v>
      </c>
      <c r="AB52" s="308" t="s">
        <v>286</v>
      </c>
      <c r="AC52" s="309" t="s">
        <v>286</v>
      </c>
      <c r="AD52" s="309" t="s">
        <v>286</v>
      </c>
      <c r="AE52" s="309" t="s">
        <v>286</v>
      </c>
      <c r="AF52" s="309" t="s">
        <v>286</v>
      </c>
      <c r="AG52" s="310" t="s">
        <v>286</v>
      </c>
      <c r="AH52" s="310" t="s">
        <v>286</v>
      </c>
      <c r="AI52" s="310" t="s">
        <v>286</v>
      </c>
      <c r="AJ52" s="310" t="s">
        <v>286</v>
      </c>
      <c r="AK52" s="310" t="s">
        <v>286</v>
      </c>
      <c r="AL52" s="310" t="s">
        <v>286</v>
      </c>
      <c r="AM52" s="311" t="s">
        <v>409</v>
      </c>
      <c r="AN52" s="312" t="s">
        <v>286</v>
      </c>
      <c r="AO52" s="312" t="s">
        <v>286</v>
      </c>
      <c r="AP52" s="313"/>
      <c r="AQ52" s="314"/>
      <c r="AR52" s="315"/>
      <c r="AS52" s="313"/>
      <c r="AT52" s="313" t="s">
        <v>286</v>
      </c>
      <c r="AU52" s="311" t="s">
        <v>409</v>
      </c>
      <c r="AV52" s="313" t="s">
        <v>286</v>
      </c>
      <c r="AW52" s="311" t="s">
        <v>409</v>
      </c>
      <c r="AX52" s="305" t="s">
        <v>286</v>
      </c>
      <c r="AY52" s="311" t="s">
        <v>409</v>
      </c>
      <c r="AZ52" s="312" t="s">
        <v>286</v>
      </c>
      <c r="BA52" s="311" t="s">
        <v>409</v>
      </c>
      <c r="BB52" s="249"/>
      <c r="BC52" s="311" t="s">
        <v>265</v>
      </c>
      <c r="BD52" s="311" t="s">
        <v>265</v>
      </c>
      <c r="BE52" s="311" t="s">
        <v>265</v>
      </c>
      <c r="BF52" s="311" t="s">
        <v>409</v>
      </c>
      <c r="BG52" s="311" t="s">
        <v>286</v>
      </c>
      <c r="BI52" s="310" t="s">
        <v>286</v>
      </c>
      <c r="BJ52" s="310" t="s">
        <v>286</v>
      </c>
      <c r="BK52" s="310" t="s">
        <v>286</v>
      </c>
      <c r="BL52" s="310" t="s">
        <v>286</v>
      </c>
      <c r="BN52" s="310" t="s">
        <v>286</v>
      </c>
      <c r="BO52" s="310" t="s">
        <v>286</v>
      </c>
      <c r="BP52" s="310" t="s">
        <v>286</v>
      </c>
      <c r="BQ52" s="310" t="s">
        <v>286</v>
      </c>
      <c r="BR52" s="310" t="s">
        <v>286</v>
      </c>
      <c r="BS52" s="310" t="s">
        <v>286</v>
      </c>
      <c r="BT52" s="310" t="s">
        <v>286</v>
      </c>
      <c r="BU52" s="310" t="s">
        <v>286</v>
      </c>
      <c r="BW52" s="310" t="s">
        <v>286</v>
      </c>
      <c r="BX52" s="310" t="s">
        <v>286</v>
      </c>
      <c r="BY52" s="310" t="s">
        <v>286</v>
      </c>
      <c r="BZ52" s="310" t="s">
        <v>286</v>
      </c>
      <c r="CA52" s="310" t="s">
        <v>286</v>
      </c>
      <c r="CB52" s="310" t="s">
        <v>286</v>
      </c>
      <c r="CC52" s="310" t="s">
        <v>286</v>
      </c>
      <c r="CD52" s="310" t="s">
        <v>286</v>
      </c>
      <c r="CE52" s="310" t="s">
        <v>286</v>
      </c>
      <c r="CF52" s="310" t="s">
        <v>286</v>
      </c>
      <c r="CH52" s="310" t="s">
        <v>286</v>
      </c>
      <c r="CI52" s="310" t="s">
        <v>286</v>
      </c>
      <c r="CJ52" s="310" t="s">
        <v>286</v>
      </c>
      <c r="CK52" s="310" t="s">
        <v>286</v>
      </c>
      <c r="CL52" s="310" t="s">
        <v>286</v>
      </c>
      <c r="CM52" s="310" t="s">
        <v>286</v>
      </c>
      <c r="CN52" s="310" t="s">
        <v>286</v>
      </c>
      <c r="CO52" s="310" t="s">
        <v>286</v>
      </c>
      <c r="CP52" s="310" t="s">
        <v>286</v>
      </c>
      <c r="CQ52" s="310" t="s">
        <v>286</v>
      </c>
      <c r="CS52" s="310" t="s">
        <v>286</v>
      </c>
      <c r="CT52" s="310" t="s">
        <v>286</v>
      </c>
      <c r="CU52" s="310" t="s">
        <v>286</v>
      </c>
      <c r="CV52" s="310" t="s">
        <v>286</v>
      </c>
      <c r="CW52" s="310" t="s">
        <v>286</v>
      </c>
      <c r="CX52" s="310" t="s">
        <v>286</v>
      </c>
      <c r="CY52" s="310" t="s">
        <v>286</v>
      </c>
      <c r="CZ52" s="310" t="s">
        <v>286</v>
      </c>
      <c r="DA52" s="310" t="s">
        <v>286</v>
      </c>
    </row>
    <row r="53" spans="1:105">
      <c r="A53" s="316"/>
      <c r="B53" s="317"/>
      <c r="C53" s="317"/>
      <c r="D53" s="318">
        <f>mc</f>
        <v>0</v>
      </c>
      <c r="E53" s="318">
        <f>cod</f>
        <v>0</v>
      </c>
      <c r="F53" s="318">
        <f>bod</f>
        <v>0</v>
      </c>
      <c r="G53" s="318">
        <f>sst</f>
        <v>0</v>
      </c>
      <c r="H53" s="319">
        <f>Tariffa_old!C28</f>
        <v>0</v>
      </c>
      <c r="I53" s="320">
        <f>Tariffa_old!C29</f>
        <v>0</v>
      </c>
      <c r="J53" s="321">
        <f>Tariffa_old!D18</f>
        <v>0</v>
      </c>
      <c r="K53" s="322"/>
      <c r="L53" s="323">
        <f>'DATI UTENTE'!D34</f>
        <v>0</v>
      </c>
      <c r="M53" s="323">
        <f>'DATI UTENTE'!D36</f>
        <v>0</v>
      </c>
      <c r="N53" s="323">
        <f>'DATI UTENTE'!D38</f>
        <v>0</v>
      </c>
      <c r="O53" s="322"/>
      <c r="P53" s="324">
        <f>'DATI UTENTE'!D41</f>
        <v>0</v>
      </c>
      <c r="Q53" s="324">
        <f>'DATI UTENTE'!D43</f>
        <v>0</v>
      </c>
      <c r="R53" s="324">
        <f>'DATI UTENTE'!D44</f>
        <v>0</v>
      </c>
      <c r="S53" s="324">
        <f>'DATI UTENTE'!D45</f>
        <v>0</v>
      </c>
      <c r="T53" s="324">
        <f>'DATI UTENTE'!D46</f>
        <v>0</v>
      </c>
      <c r="U53" s="324">
        <f>'DATI UTENTE'!D47</f>
        <v>0</v>
      </c>
      <c r="V53" s="324">
        <f>'DATI UTENTE'!D42</f>
        <v>0</v>
      </c>
      <c r="W53" s="325"/>
      <c r="X53" s="326" t="str">
        <f>Tariffa_old!D12</f>
        <v/>
      </c>
      <c r="Y53" s="326" t="str">
        <f>Tariffa_old!F12</f>
        <v/>
      </c>
      <c r="Z53" s="326" t="str">
        <f>Tariffa_old!E12</f>
        <v/>
      </c>
      <c r="AA53" s="326" t="str">
        <f>Tariffa_old!H12</f>
        <v/>
      </c>
      <c r="AB53" s="327">
        <f>Deroghe!B42</f>
        <v>0</v>
      </c>
      <c r="AC53" s="327" t="str">
        <f>Tariffa_old!J12</f>
        <v/>
      </c>
      <c r="AD53" s="535"/>
      <c r="AE53" s="535"/>
      <c r="AF53" s="535"/>
      <c r="AG53" s="328" t="e">
        <f>(X53)*$C$9</f>
        <v>#VALUE!</v>
      </c>
      <c r="AH53" s="328" t="e">
        <f>(Y53+Z53)*$C$9</f>
        <v>#VALUE!</v>
      </c>
      <c r="AI53" s="329" t="e">
        <f>AH53/D53</f>
        <v>#VALUE!</v>
      </c>
      <c r="AJ53" s="330" t="e">
        <f>(AA53*C$9+AB53)</f>
        <v>#VALUE!</v>
      </c>
      <c r="AK53" s="331" t="e">
        <f>AJ53/D53</f>
        <v>#VALUE!</v>
      </c>
      <c r="AL53" s="330" t="e">
        <f>AG53+AH53+AJ53</f>
        <v>#VALUE!</v>
      </c>
      <c r="AM53" s="331" t="e">
        <f>AL53/D53</f>
        <v>#VALUE!</v>
      </c>
      <c r="AN53" s="332" t="e">
        <f>(IF(D53="",0,$C$14*$C$30/12)+($C$15*L53+$C$16*M53+$C$17*N53)*$C$30/12+D53*$C$24)*$C$10</f>
        <v>#N/A</v>
      </c>
      <c r="AO53" s="332" t="e">
        <f>(AP53*$C$25*$C$30/12)*$C$10</f>
        <v>#N/A</v>
      </c>
      <c r="AP53" s="333">
        <f>($C$41*Q53/100+$C$42*S53/100)*P53/1000</f>
        <v>0</v>
      </c>
      <c r="AQ53" s="332">
        <f>(MAX($C$21, $C$41/100*E53/$C$34 + $C$42/100*G53/$C$35 + $C$43/100*H53/$C$36 + $C$44/100*I53/$C$37+IF(F53&lt;$C$38,0,$C$46/100*F53/$C$38)+IF(J53&lt;$C$39,0,$C$47/100*J53/$C$39)))</f>
        <v>1</v>
      </c>
      <c r="AR53" s="334">
        <f>AQ53*D53</f>
        <v>0</v>
      </c>
      <c r="AS53" s="335">
        <v>1</v>
      </c>
      <c r="AT53" s="330" t="e">
        <f>(($C$27)*D53*AS53)*$C$10</f>
        <v>#N/A</v>
      </c>
      <c r="AU53" s="331" t="e">
        <f>AT53/D53</f>
        <v>#N/A</v>
      </c>
      <c r="AV53" s="330" t="e">
        <f>((MAX($C$21, $C$41/100*E53/$C$34 + $C$42/100*G53/$C$35 + $C$43/100*H53/$C$36 + $C$44/100*I53/$C$37+IF(F53&lt;$C$38,0,$C$46/100*F53/$C$38)+IF(J53&lt;$C$39,0,$C$47/100*J53/$C$39))*$C$28)*D53)*$C$10</f>
        <v>#N/A</v>
      </c>
      <c r="AW53" s="331" t="e">
        <f>AV53/D53</f>
        <v>#N/A</v>
      </c>
      <c r="AX53" s="332" t="e">
        <f>AT53+AV53</f>
        <v>#N/A</v>
      </c>
      <c r="AY53" s="331" t="e">
        <f>AX53/D53</f>
        <v>#N/A</v>
      </c>
      <c r="AZ53" s="336" t="e">
        <f>AN53+AO53+AX53</f>
        <v>#N/A</v>
      </c>
      <c r="BA53" s="331" t="e">
        <f>AZ53/D53</f>
        <v>#N/A</v>
      </c>
      <c r="BB53" s="249"/>
      <c r="BC53" s="337" t="e">
        <f>IF((AG53)&gt;0,(AT53+AN53-AG53-AH53)/(AG53+AH53)*100,"")</f>
        <v>#VALUE!</v>
      </c>
      <c r="BD53" s="337" t="e">
        <f>IF(AJ53&gt;0,(AV53+AO53-AJ53)/AJ53*100,"")</f>
        <v>#VALUE!</v>
      </c>
      <c r="BE53" s="337" t="e">
        <f>IF(AJ53&gt;0,IF(AL53&gt;0,(AZ53-AL53)/AL53*100,""),"")</f>
        <v>#VALUE!</v>
      </c>
      <c r="BF53" s="331" t="e">
        <f>BA53-AM53</f>
        <v>#N/A</v>
      </c>
      <c r="BG53" s="330" t="e">
        <f>AZ53-AL53</f>
        <v>#N/A</v>
      </c>
      <c r="BI53" s="330" t="e">
        <f>(IF(D53="",0,$C$14*$C$30/12)+D53*$C$24)*$C$10</f>
        <v>#N/A</v>
      </c>
      <c r="BJ53" s="330" t="e">
        <f>($C$15*L53+$C$16*M53+$C$17*N53)*$C$30/12*$C$10</f>
        <v>#N/A</v>
      </c>
      <c r="BK53" s="330" t="e">
        <f>IF(D53="",0,BI53*$C$19/100)</f>
        <v>#N/A</v>
      </c>
      <c r="BL53" s="330" t="e">
        <f>BI53*(1-$C$19/100)+BJ53</f>
        <v>#N/A</v>
      </c>
      <c r="BN53" s="330" t="e">
        <f>IF(BE53&gt;($C$32*100-100),(AZ53-AL53*$C$32),IF(BE53&lt;-($C$32*100-100),(AZ53-AL53*(2-$C$32)),""))</f>
        <v>#VALUE!</v>
      </c>
      <c r="BO53" s="330" t="e">
        <f>IF(BN53&lt;0,0,IF(BE53&gt;($C$32*100-100),BN53,0))</f>
        <v>#VALUE!</v>
      </c>
      <c r="BP53" s="330" t="e">
        <f>IF(D53="",0,IF(BE53&gt;($C$32*100-100),BO53*AN53/AZ53,0))</f>
        <v>#VALUE!</v>
      </c>
      <c r="BQ53" s="330" t="e">
        <f>IF(D53="",0,IF(BE53&gt;($C$32*100-100),BP53-BR53,0))</f>
        <v>#VALUE!</v>
      </c>
      <c r="BR53" s="330" t="e">
        <f>IF(D53="",0,IF(BE53&gt;($C$32*100-100),BP53*(AO53+AV53)/(AZ53-AN53),0))</f>
        <v>#VALUE!</v>
      </c>
      <c r="BS53" s="330" t="e">
        <f>IF(D53="",0,IF(BE53&gt;($C$32*100-100),BO53*(AO53)/AZ53,0))</f>
        <v>#VALUE!</v>
      </c>
      <c r="BT53" s="330" t="e">
        <f>IF(D53="",0,IF(BE53&gt;($C$32*100-100),BO53*AT53/AZ53,0))</f>
        <v>#VALUE!</v>
      </c>
      <c r="BU53" s="330" t="e">
        <f>IF(D53="",0,IF(BE53&gt;($C$32*100-100),BO53*(AV53)/AZ53,0))</f>
        <v>#VALUE!</v>
      </c>
      <c r="BW53" s="330" t="e">
        <f>BK53</f>
        <v>#N/A</v>
      </c>
      <c r="BX53" s="330" t="e">
        <f>BL53</f>
        <v>#N/A</v>
      </c>
      <c r="BY53" s="330" t="e">
        <f>AO53</f>
        <v>#N/A</v>
      </c>
      <c r="BZ53" s="330" t="e">
        <f>AT53</f>
        <v>#N/A</v>
      </c>
      <c r="CA53" s="330" t="e">
        <f>AV53</f>
        <v>#N/A</v>
      </c>
      <c r="CB53" s="338" t="str">
        <f>AC53</f>
        <v/>
      </c>
      <c r="CC53" s="338">
        <f>AD53</f>
        <v>0</v>
      </c>
      <c r="CD53" s="338">
        <f>AE53</f>
        <v>0</v>
      </c>
      <c r="CE53" s="338">
        <f>AF53</f>
        <v>0</v>
      </c>
      <c r="CF53" s="330" t="e">
        <f>SUM(BW53:CE53)</f>
        <v>#N/A</v>
      </c>
      <c r="CH53" s="330" t="e">
        <f>BW53-BQ53</f>
        <v>#N/A</v>
      </c>
      <c r="CI53" s="330" t="e">
        <f>BX53-BR53</f>
        <v>#N/A</v>
      </c>
      <c r="CJ53" s="330" t="e">
        <f>BY53-BS53</f>
        <v>#N/A</v>
      </c>
      <c r="CK53" s="330" t="e">
        <f>BZ53-BT53</f>
        <v>#N/A</v>
      </c>
      <c r="CL53" s="330" t="e">
        <f>CA53-BU53</f>
        <v>#N/A</v>
      </c>
      <c r="CM53" s="338" t="str">
        <f>CB53</f>
        <v/>
      </c>
      <c r="CN53" s="338">
        <f>CC53</f>
        <v>0</v>
      </c>
      <c r="CO53" s="338">
        <f>CD53</f>
        <v>0</v>
      </c>
      <c r="CP53" s="338">
        <f>CE53</f>
        <v>0</v>
      </c>
      <c r="CQ53" s="330" t="e">
        <f>SUM(CH53:CP53)</f>
        <v>#N/A</v>
      </c>
      <c r="CS53" s="330" t="e">
        <f>AG53+AH53</f>
        <v>#VALUE!</v>
      </c>
      <c r="CT53" s="330" t="e">
        <f>AJ53</f>
        <v>#VALUE!</v>
      </c>
      <c r="CU53" s="330" t="e">
        <f>CS53+CT53</f>
        <v>#VALUE!</v>
      </c>
      <c r="CV53" s="330" t="e">
        <f>BW53+BZ53</f>
        <v>#N/A</v>
      </c>
      <c r="CW53" s="330" t="e">
        <f>BX53+BY53+CA53</f>
        <v>#N/A</v>
      </c>
      <c r="CX53" s="330" t="e">
        <f>CV53+CW53</f>
        <v>#N/A</v>
      </c>
      <c r="CY53" s="330" t="e">
        <f>CH53+CK53</f>
        <v>#N/A</v>
      </c>
      <c r="CZ53" s="330" t="e">
        <f>CI53+CJ53+CL53</f>
        <v>#N/A</v>
      </c>
      <c r="DA53" s="330" t="e">
        <f>CY53+CZ53</f>
        <v>#N/A</v>
      </c>
    </row>
    <row r="54" spans="1:105">
      <c r="A54" s="316"/>
      <c r="B54" s="317"/>
      <c r="C54" s="317"/>
      <c r="D54" s="318"/>
      <c r="E54" s="318"/>
      <c r="F54" s="318"/>
      <c r="G54" s="318"/>
      <c r="H54" s="319"/>
      <c r="I54" s="320"/>
      <c r="J54" s="321"/>
      <c r="K54" s="322"/>
      <c r="L54" s="323"/>
      <c r="M54" s="323"/>
      <c r="N54" s="323"/>
      <c r="O54" s="322"/>
      <c r="P54" s="324"/>
      <c r="Q54" s="324"/>
      <c r="R54" s="324"/>
      <c r="S54" s="324"/>
      <c r="T54" s="324"/>
      <c r="U54" s="324"/>
      <c r="V54" s="324"/>
      <c r="W54" s="325"/>
      <c r="X54" s="326"/>
      <c r="Y54" s="326"/>
      <c r="Z54" s="326"/>
      <c r="AA54" s="326"/>
      <c r="AB54" s="327"/>
      <c r="AC54" s="327"/>
      <c r="AD54" s="327"/>
      <c r="AE54" s="327"/>
      <c r="AF54" s="327"/>
      <c r="AG54" s="328"/>
      <c r="AH54" s="328"/>
      <c r="AI54" s="329"/>
      <c r="AJ54" s="330"/>
      <c r="AK54" s="331"/>
      <c r="AL54" s="330"/>
      <c r="AM54" s="331"/>
      <c r="AN54" s="332"/>
      <c r="AO54" s="332"/>
      <c r="AP54" s="333"/>
      <c r="AQ54" s="332"/>
      <c r="AR54" s="334"/>
      <c r="AS54" s="335"/>
      <c r="AT54" s="330"/>
      <c r="AU54" s="331"/>
      <c r="AV54" s="330"/>
      <c r="AW54" s="331"/>
      <c r="AX54" s="332"/>
      <c r="AY54" s="331"/>
      <c r="AZ54" s="336"/>
      <c r="BA54" s="331"/>
      <c r="BB54" s="249"/>
      <c r="BC54" s="337"/>
      <c r="BD54" s="337"/>
      <c r="BE54" s="337"/>
      <c r="BF54" s="331"/>
      <c r="BG54" s="330"/>
      <c r="BI54" s="330"/>
      <c r="BJ54" s="330"/>
      <c r="BK54" s="330"/>
      <c r="BL54" s="330"/>
      <c r="BN54" s="330"/>
      <c r="BO54" s="330"/>
      <c r="BP54" s="330"/>
      <c r="BQ54" s="330"/>
      <c r="BR54" s="330"/>
      <c r="BS54" s="330"/>
      <c r="BT54" s="330"/>
      <c r="BU54" s="330"/>
      <c r="BW54" s="330"/>
      <c r="BX54" s="330"/>
      <c r="BY54" s="330"/>
      <c r="BZ54" s="330"/>
      <c r="CA54" s="330"/>
      <c r="CB54" s="338"/>
      <c r="CC54" s="338"/>
      <c r="CD54" s="338"/>
      <c r="CE54" s="338"/>
      <c r="CF54" s="330"/>
      <c r="CH54" s="330"/>
      <c r="CI54" s="330"/>
      <c r="CJ54" s="330"/>
      <c r="CK54" s="330"/>
      <c r="CL54" s="330"/>
      <c r="CM54" s="338"/>
      <c r="CN54" s="338"/>
      <c r="CO54" s="338"/>
      <c r="CP54" s="338"/>
      <c r="CQ54" s="330"/>
      <c r="CS54" s="330"/>
      <c r="CT54" s="330"/>
      <c r="CU54" s="330"/>
      <c r="CV54" s="330"/>
      <c r="CW54" s="330"/>
      <c r="CX54" s="330"/>
      <c r="CY54" s="330"/>
      <c r="CZ54" s="330"/>
      <c r="DA54" s="330"/>
    </row>
    <row r="55" spans="1:105">
      <c r="A55" s="316"/>
      <c r="B55" s="317"/>
      <c r="C55" s="317"/>
      <c r="D55" s="318"/>
      <c r="E55" s="318"/>
      <c r="F55" s="318"/>
      <c r="G55" s="318"/>
      <c r="H55" s="319"/>
      <c r="I55" s="320"/>
      <c r="J55" s="321"/>
      <c r="K55" s="322"/>
      <c r="L55" s="323"/>
      <c r="M55" s="323"/>
      <c r="N55" s="323"/>
      <c r="O55" s="322"/>
      <c r="P55" s="324"/>
      <c r="Q55" s="324"/>
      <c r="R55" s="324"/>
      <c r="S55" s="324"/>
      <c r="T55" s="324"/>
      <c r="U55" s="324"/>
      <c r="V55" s="324"/>
      <c r="W55" s="325"/>
      <c r="X55" s="326"/>
      <c r="Y55" s="326"/>
      <c r="Z55" s="326"/>
      <c r="AA55" s="326"/>
      <c r="AB55" s="327"/>
      <c r="AC55" s="327"/>
      <c r="AD55" s="327"/>
      <c r="AE55" s="327"/>
      <c r="AF55" s="327"/>
      <c r="AG55" s="328"/>
      <c r="AH55" s="328"/>
      <c r="AI55" s="329"/>
      <c r="AJ55" s="330"/>
      <c r="AK55" s="331"/>
      <c r="AL55" s="330"/>
      <c r="AM55" s="331"/>
      <c r="AN55" s="332"/>
      <c r="AO55" s="332"/>
      <c r="AP55" s="333"/>
      <c r="AQ55" s="332"/>
      <c r="AR55" s="334"/>
      <c r="AS55" s="335"/>
      <c r="AT55" s="330"/>
      <c r="AU55" s="331"/>
      <c r="AV55" s="330"/>
      <c r="AW55" s="331"/>
      <c r="AX55" s="332"/>
      <c r="AY55" s="331"/>
      <c r="AZ55" s="336"/>
      <c r="BA55" s="331"/>
      <c r="BB55" s="249"/>
      <c r="BC55" s="337"/>
      <c r="BD55" s="337"/>
      <c r="BE55" s="337"/>
      <c r="BF55" s="331"/>
      <c r="BG55" s="330"/>
      <c r="BI55" s="330"/>
      <c r="BJ55" s="330"/>
      <c r="BK55" s="330"/>
      <c r="BL55" s="330"/>
      <c r="BN55" s="330"/>
      <c r="BO55" s="330"/>
      <c r="BP55" s="330"/>
      <c r="BQ55" s="330"/>
      <c r="BR55" s="330"/>
      <c r="BS55" s="330"/>
      <c r="BT55" s="330"/>
      <c r="BU55" s="330"/>
      <c r="BW55" s="330"/>
      <c r="BX55" s="330"/>
      <c r="BY55" s="330"/>
      <c r="BZ55" s="330"/>
      <c r="CA55" s="330"/>
      <c r="CB55" s="338"/>
      <c r="CC55" s="338"/>
      <c r="CD55" s="338"/>
      <c r="CE55" s="338"/>
      <c r="CF55" s="330"/>
      <c r="CH55" s="330"/>
      <c r="CI55" s="330"/>
      <c r="CJ55" s="330"/>
      <c r="CK55" s="330"/>
      <c r="CL55" s="330"/>
      <c r="CM55" s="338"/>
      <c r="CN55" s="338"/>
      <c r="CO55" s="338"/>
      <c r="CP55" s="338"/>
      <c r="CQ55" s="330"/>
      <c r="CS55" s="330"/>
      <c r="CT55" s="330"/>
      <c r="CU55" s="330"/>
      <c r="CV55" s="330"/>
      <c r="CW55" s="330"/>
      <c r="CX55" s="330"/>
      <c r="CY55" s="330"/>
      <c r="CZ55" s="330"/>
      <c r="DA55" s="330"/>
    </row>
    <row r="56" spans="1:105">
      <c r="A56" s="316"/>
      <c r="B56" s="317"/>
      <c r="C56" s="317"/>
      <c r="D56" s="318"/>
      <c r="E56" s="318"/>
      <c r="F56" s="318"/>
      <c r="G56" s="318"/>
      <c r="H56" s="319"/>
      <c r="I56" s="320"/>
      <c r="J56" s="321"/>
      <c r="K56" s="322"/>
      <c r="L56" s="323"/>
      <c r="M56" s="323"/>
      <c r="N56" s="323"/>
      <c r="O56" s="322"/>
      <c r="P56" s="324"/>
      <c r="Q56" s="324"/>
      <c r="R56" s="324"/>
      <c r="S56" s="324"/>
      <c r="T56" s="324"/>
      <c r="U56" s="324"/>
      <c r="V56" s="324"/>
      <c r="W56" s="325"/>
      <c r="X56" s="326"/>
      <c r="Y56" s="326"/>
      <c r="Z56" s="326"/>
      <c r="AA56" s="326"/>
      <c r="AB56" s="327"/>
      <c r="AC56" s="327"/>
      <c r="AD56" s="327"/>
      <c r="AE56" s="327"/>
      <c r="AF56" s="327"/>
      <c r="AG56" s="328"/>
      <c r="AH56" s="328"/>
      <c r="AI56" s="329"/>
      <c r="AJ56" s="330"/>
      <c r="AK56" s="331"/>
      <c r="AL56" s="330"/>
      <c r="AM56" s="331"/>
      <c r="AN56" s="332"/>
      <c r="AO56" s="332"/>
      <c r="AP56" s="333"/>
      <c r="AQ56" s="332"/>
      <c r="AR56" s="334"/>
      <c r="AS56" s="335"/>
      <c r="AT56" s="330"/>
      <c r="AU56" s="331"/>
      <c r="AV56" s="330"/>
      <c r="AW56" s="331"/>
      <c r="AX56" s="332"/>
      <c r="AY56" s="331"/>
      <c r="AZ56" s="336"/>
      <c r="BA56" s="331"/>
      <c r="BB56" s="249"/>
      <c r="BC56" s="337"/>
      <c r="BD56" s="337"/>
      <c r="BE56" s="337"/>
      <c r="BF56" s="331"/>
      <c r="BG56" s="330"/>
      <c r="BI56" s="330"/>
      <c r="BJ56" s="330"/>
      <c r="BK56" s="330"/>
      <c r="BL56" s="330"/>
      <c r="BN56" s="330"/>
      <c r="BO56" s="330"/>
      <c r="BP56" s="330"/>
      <c r="BQ56" s="330"/>
      <c r="BR56" s="330"/>
      <c r="BS56" s="330"/>
      <c r="BT56" s="330"/>
      <c r="BU56" s="330"/>
      <c r="BW56" s="330"/>
      <c r="BX56" s="330"/>
      <c r="BY56" s="330"/>
      <c r="BZ56" s="330"/>
      <c r="CA56" s="330"/>
      <c r="CB56" s="338"/>
      <c r="CC56" s="338"/>
      <c r="CD56" s="338"/>
      <c r="CE56" s="338"/>
      <c r="CF56" s="330"/>
      <c r="CH56" s="330"/>
      <c r="CI56" s="330"/>
      <c r="CJ56" s="330"/>
      <c r="CK56" s="330"/>
      <c r="CL56" s="330"/>
      <c r="CM56" s="338"/>
      <c r="CN56" s="338"/>
      <c r="CO56" s="338"/>
      <c r="CP56" s="338"/>
      <c r="CQ56" s="330"/>
      <c r="CS56" s="330"/>
      <c r="CT56" s="330"/>
      <c r="CU56" s="330"/>
      <c r="CV56" s="330"/>
      <c r="CW56" s="330"/>
      <c r="CX56" s="330"/>
      <c r="CY56" s="330"/>
      <c r="CZ56" s="330"/>
      <c r="DA56" s="330"/>
    </row>
    <row r="57" spans="1:105">
      <c r="A57" s="316"/>
      <c r="B57" s="317"/>
      <c r="C57" s="317"/>
      <c r="D57" s="318"/>
      <c r="E57" s="318"/>
      <c r="F57" s="318"/>
      <c r="G57" s="318"/>
      <c r="H57" s="319"/>
      <c r="I57" s="320"/>
      <c r="J57" s="321"/>
      <c r="K57" s="322"/>
      <c r="L57" s="323"/>
      <c r="M57" s="323"/>
      <c r="N57" s="323"/>
      <c r="O57" s="322"/>
      <c r="P57" s="324"/>
      <c r="Q57" s="324"/>
      <c r="R57" s="324"/>
      <c r="S57" s="324"/>
      <c r="T57" s="324"/>
      <c r="U57" s="324"/>
      <c r="V57" s="324"/>
      <c r="W57" s="325"/>
      <c r="X57" s="326"/>
      <c r="Y57" s="326"/>
      <c r="Z57" s="326"/>
      <c r="AA57" s="326"/>
      <c r="AB57" s="327"/>
      <c r="AC57" s="327"/>
      <c r="AD57" s="327"/>
      <c r="AE57" s="327"/>
      <c r="AF57" s="327"/>
      <c r="AG57" s="328"/>
      <c r="AH57" s="328"/>
      <c r="AI57" s="329"/>
      <c r="AJ57" s="330"/>
      <c r="AK57" s="331"/>
      <c r="AL57" s="330"/>
      <c r="AM57" s="331"/>
      <c r="AN57" s="332"/>
      <c r="AO57" s="332"/>
      <c r="AP57" s="333"/>
      <c r="AQ57" s="332"/>
      <c r="AR57" s="334"/>
      <c r="AS57" s="335"/>
      <c r="AT57" s="330"/>
      <c r="AU57" s="331"/>
      <c r="AV57" s="330"/>
      <c r="AW57" s="331"/>
      <c r="AX57" s="332"/>
      <c r="AY57" s="331"/>
      <c r="AZ57" s="336"/>
      <c r="BA57" s="331"/>
      <c r="BB57" s="249"/>
      <c r="BC57" s="337"/>
      <c r="BD57" s="337"/>
      <c r="BE57" s="337"/>
      <c r="BF57" s="331"/>
      <c r="BG57" s="330"/>
      <c r="BI57" s="330"/>
      <c r="BJ57" s="330"/>
      <c r="BK57" s="330"/>
      <c r="BL57" s="330"/>
      <c r="BN57" s="330"/>
      <c r="BO57" s="330"/>
      <c r="BP57" s="330"/>
      <c r="BQ57" s="330"/>
      <c r="BR57" s="330"/>
      <c r="BS57" s="330"/>
      <c r="BT57" s="330"/>
      <c r="BU57" s="330"/>
      <c r="BW57" s="330"/>
      <c r="BX57" s="330"/>
      <c r="BY57" s="330"/>
      <c r="BZ57" s="330"/>
      <c r="CA57" s="330"/>
      <c r="CB57" s="338"/>
      <c r="CC57" s="338"/>
      <c r="CD57" s="338"/>
      <c r="CE57" s="338"/>
      <c r="CF57" s="330"/>
      <c r="CH57" s="330"/>
      <c r="CI57" s="330"/>
      <c r="CJ57" s="330"/>
      <c r="CK57" s="330"/>
      <c r="CL57" s="330"/>
      <c r="CM57" s="338"/>
      <c r="CN57" s="338"/>
      <c r="CO57" s="338"/>
      <c r="CP57" s="338"/>
      <c r="CQ57" s="330"/>
      <c r="CS57" s="330"/>
      <c r="CT57" s="330"/>
      <c r="CU57" s="330"/>
      <c r="CV57" s="330"/>
      <c r="CW57" s="330"/>
      <c r="CX57" s="330"/>
      <c r="CY57" s="330"/>
      <c r="CZ57" s="330"/>
      <c r="DA57" s="330"/>
    </row>
    <row r="58" spans="1:105">
      <c r="A58" s="249" t="s">
        <v>410</v>
      </c>
      <c r="B58" s="339">
        <f>COUNTA(B53:B57)</f>
        <v>0</v>
      </c>
      <c r="C58" s="339"/>
      <c r="D58" s="340">
        <f>SUM(D53:D57)</f>
        <v>0</v>
      </c>
      <c r="E58" s="340"/>
      <c r="F58" s="340"/>
      <c r="G58" s="340"/>
      <c r="H58" s="340"/>
      <c r="I58" s="340"/>
      <c r="J58" s="340"/>
      <c r="K58" s="300"/>
      <c r="L58" s="340">
        <f>SUM(L53:L57)</f>
        <v>0</v>
      </c>
      <c r="M58" s="340">
        <f>SUM(M53:M57)</f>
        <v>0</v>
      </c>
      <c r="N58" s="340">
        <f>SUM(N53:N57)</f>
        <v>0</v>
      </c>
      <c r="O58" s="300"/>
      <c r="P58" s="341">
        <f>SUM(P53:P57)</f>
        <v>0</v>
      </c>
      <c r="Q58" s="340"/>
      <c r="R58" s="340"/>
      <c r="S58" s="340"/>
      <c r="T58" s="340"/>
      <c r="U58" s="340"/>
      <c r="V58" s="340"/>
      <c r="W58" s="288"/>
      <c r="X58" s="342">
        <f t="shared" ref="X58:AH58" si="0">SUM(X53:X57)</f>
        <v>0</v>
      </c>
      <c r="Y58" s="342">
        <f t="shared" si="0"/>
        <v>0</v>
      </c>
      <c r="Z58" s="342">
        <f t="shared" si="0"/>
        <v>0</v>
      </c>
      <c r="AA58" s="342">
        <f t="shared" si="0"/>
        <v>0</v>
      </c>
      <c r="AB58" s="343">
        <f t="shared" si="0"/>
        <v>0</v>
      </c>
      <c r="AC58" s="343">
        <f t="shared" si="0"/>
        <v>0</v>
      </c>
      <c r="AD58" s="343">
        <f t="shared" si="0"/>
        <v>0</v>
      </c>
      <c r="AE58" s="343">
        <f t="shared" si="0"/>
        <v>0</v>
      </c>
      <c r="AF58" s="343">
        <f t="shared" si="0"/>
        <v>0</v>
      </c>
      <c r="AG58" s="342" t="e">
        <f t="shared" si="0"/>
        <v>#VALUE!</v>
      </c>
      <c r="AH58" s="342" t="e">
        <f t="shared" si="0"/>
        <v>#VALUE!</v>
      </c>
      <c r="AI58" s="344" t="e">
        <f>AG58/D58</f>
        <v>#VALUE!</v>
      </c>
      <c r="AJ58" s="342" t="e">
        <f>SUM(AJ53:AJ57)</f>
        <v>#VALUE!</v>
      </c>
      <c r="AK58" s="345" t="e">
        <f>AJ58/D58</f>
        <v>#VALUE!</v>
      </c>
      <c r="AL58" s="342" t="e">
        <f>SUM(AL53:AL57)</f>
        <v>#VALUE!</v>
      </c>
      <c r="AM58" s="345" t="e">
        <f>AL58/D58</f>
        <v>#VALUE!</v>
      </c>
      <c r="AN58" s="336" t="e">
        <f>SUM(AN53:AN57)</f>
        <v>#N/A</v>
      </c>
      <c r="AO58" s="336" t="e">
        <f>SUM(AO53:AO57)</f>
        <v>#N/A</v>
      </c>
      <c r="AP58" s="342">
        <f>SUM(AP53:AP57)</f>
        <v>0</v>
      </c>
      <c r="AQ58" s="336"/>
      <c r="AR58" s="346">
        <f>SUM(AR53:AR57)</f>
        <v>0</v>
      </c>
      <c r="AS58" s="342">
        <f>AVERAGE(AS53:AS57)</f>
        <v>1</v>
      </c>
      <c r="AT58" s="342" t="e">
        <f>SUM(AT53:AT57)</f>
        <v>#N/A</v>
      </c>
      <c r="AU58" s="345" t="e">
        <f>AT58/D58</f>
        <v>#N/A</v>
      </c>
      <c r="AV58" s="342" t="e">
        <f>SUM(AV53:AV57)</f>
        <v>#N/A</v>
      </c>
      <c r="AW58" s="345" t="e">
        <f>AV58/D58</f>
        <v>#N/A</v>
      </c>
      <c r="AX58" s="336" t="e">
        <f>SUM(AX53:AX57)</f>
        <v>#N/A</v>
      </c>
      <c r="AY58" s="345" t="e">
        <f>AX58/D58</f>
        <v>#N/A</v>
      </c>
      <c r="AZ58" s="336" t="e">
        <f>SUM(AZ53:AZ57)</f>
        <v>#N/A</v>
      </c>
      <c r="BA58" s="345" t="e">
        <f>AZ58/D58</f>
        <v>#N/A</v>
      </c>
      <c r="BB58" s="300"/>
      <c r="BC58" s="337" t="e">
        <f>IF((AG58)&gt;0,(AT58+AN58-AG58-AH58)/(AG58+AH58)*100,"")</f>
        <v>#VALUE!</v>
      </c>
      <c r="BD58" s="337" t="e">
        <f>IF(AJ58&gt;0,(AV58+AO58-AJ58)/AJ58*100,"")</f>
        <v>#VALUE!</v>
      </c>
      <c r="BE58" s="337" t="e">
        <f>IF(AJ58&gt;0,IF(AL58&gt;0,(AZ58-AL58)/AL58*100,""),"")</f>
        <v>#VALUE!</v>
      </c>
      <c r="BF58" s="331" t="e">
        <f>BA58-AM58</f>
        <v>#N/A</v>
      </c>
      <c r="BG58" s="330" t="e">
        <f>AZ58-AL58</f>
        <v>#N/A</v>
      </c>
      <c r="BI58" s="342" t="e">
        <f>SUM(BI53:BI57)</f>
        <v>#N/A</v>
      </c>
      <c r="BJ58" s="342" t="e">
        <f>SUM(BJ53:BJ57)</f>
        <v>#N/A</v>
      </c>
      <c r="BK58" s="342" t="e">
        <f>SUM(BK53:BK57)</f>
        <v>#N/A</v>
      </c>
      <c r="BL58" s="342" t="e">
        <f>SUM(BL53:BL57)</f>
        <v>#N/A</v>
      </c>
      <c r="BN58" s="342" t="e">
        <f t="shared" ref="BN58:BU58" si="1">SUM(BN53:BN57)</f>
        <v>#VALUE!</v>
      </c>
      <c r="BO58" s="342" t="e">
        <f t="shared" si="1"/>
        <v>#VALUE!</v>
      </c>
      <c r="BP58" s="342" t="e">
        <f t="shared" si="1"/>
        <v>#VALUE!</v>
      </c>
      <c r="BQ58" s="342" t="e">
        <f t="shared" si="1"/>
        <v>#VALUE!</v>
      </c>
      <c r="BR58" s="342" t="e">
        <f t="shared" si="1"/>
        <v>#VALUE!</v>
      </c>
      <c r="BS58" s="342" t="e">
        <f t="shared" si="1"/>
        <v>#VALUE!</v>
      </c>
      <c r="BT58" s="342" t="e">
        <f t="shared" si="1"/>
        <v>#VALUE!</v>
      </c>
      <c r="BU58" s="342" t="e">
        <f t="shared" si="1"/>
        <v>#VALUE!</v>
      </c>
      <c r="BW58" s="342" t="e">
        <f t="shared" ref="BW58:CF58" si="2">SUM(BW53:BW57)</f>
        <v>#N/A</v>
      </c>
      <c r="BX58" s="342" t="e">
        <f t="shared" si="2"/>
        <v>#N/A</v>
      </c>
      <c r="BY58" s="342" t="e">
        <f t="shared" si="2"/>
        <v>#N/A</v>
      </c>
      <c r="BZ58" s="342" t="e">
        <f t="shared" si="2"/>
        <v>#N/A</v>
      </c>
      <c r="CA58" s="342" t="e">
        <f t="shared" si="2"/>
        <v>#N/A</v>
      </c>
      <c r="CB58" s="343">
        <f t="shared" si="2"/>
        <v>0</v>
      </c>
      <c r="CC58" s="343">
        <f t="shared" si="2"/>
        <v>0</v>
      </c>
      <c r="CD58" s="343">
        <f t="shared" si="2"/>
        <v>0</v>
      </c>
      <c r="CE58" s="343">
        <f t="shared" si="2"/>
        <v>0</v>
      </c>
      <c r="CF58" s="342" t="e">
        <f t="shared" si="2"/>
        <v>#N/A</v>
      </c>
      <c r="CH58" s="342" t="e">
        <f t="shared" ref="CH58:CQ58" si="3">SUM(CH53:CH57)</f>
        <v>#N/A</v>
      </c>
      <c r="CI58" s="342" t="e">
        <f t="shared" si="3"/>
        <v>#N/A</v>
      </c>
      <c r="CJ58" s="342" t="e">
        <f t="shared" si="3"/>
        <v>#N/A</v>
      </c>
      <c r="CK58" s="342" t="e">
        <f t="shared" si="3"/>
        <v>#N/A</v>
      </c>
      <c r="CL58" s="342" t="e">
        <f t="shared" si="3"/>
        <v>#N/A</v>
      </c>
      <c r="CM58" s="343">
        <f t="shared" si="3"/>
        <v>0</v>
      </c>
      <c r="CN58" s="343">
        <f t="shared" si="3"/>
        <v>0</v>
      </c>
      <c r="CO58" s="343">
        <f t="shared" si="3"/>
        <v>0</v>
      </c>
      <c r="CP58" s="343">
        <f t="shared" si="3"/>
        <v>0</v>
      </c>
      <c r="CQ58" s="342" t="e">
        <f t="shared" si="3"/>
        <v>#N/A</v>
      </c>
      <c r="CS58" s="342" t="e">
        <f t="shared" ref="CS58:DA58" si="4">SUM(CS53:CS57)</f>
        <v>#VALUE!</v>
      </c>
      <c r="CT58" s="342" t="e">
        <f t="shared" si="4"/>
        <v>#VALUE!</v>
      </c>
      <c r="CU58" s="342" t="e">
        <f t="shared" si="4"/>
        <v>#VALUE!</v>
      </c>
      <c r="CV58" s="342" t="e">
        <f t="shared" si="4"/>
        <v>#N/A</v>
      </c>
      <c r="CW58" s="342" t="e">
        <f t="shared" si="4"/>
        <v>#N/A</v>
      </c>
      <c r="CX58" s="342" t="e">
        <f t="shared" si="4"/>
        <v>#N/A</v>
      </c>
      <c r="CY58" s="342" t="e">
        <f t="shared" si="4"/>
        <v>#N/A</v>
      </c>
      <c r="CZ58" s="342" t="e">
        <f t="shared" si="4"/>
        <v>#N/A</v>
      </c>
      <c r="DA58" s="342" t="e">
        <f t="shared" si="4"/>
        <v>#N/A</v>
      </c>
    </row>
    <row r="59" spans="1:105">
      <c r="D59" s="347"/>
      <c r="E59" s="347"/>
      <c r="F59" s="347"/>
      <c r="G59" s="347"/>
      <c r="H59" s="347"/>
      <c r="I59" s="347"/>
      <c r="J59" s="347"/>
      <c r="K59" s="249"/>
      <c r="L59" s="347"/>
      <c r="M59" s="347"/>
      <c r="N59" s="347"/>
      <c r="O59" s="249"/>
      <c r="P59" s="347"/>
      <c r="Q59" s="347"/>
      <c r="R59" s="347"/>
      <c r="S59" s="347"/>
      <c r="T59" s="347"/>
      <c r="U59" s="347"/>
      <c r="V59" s="347"/>
      <c r="W59" s="288"/>
      <c r="AG59" s="348"/>
      <c r="AH59" s="348"/>
      <c r="AI59" s="348"/>
      <c r="AJ59" s="250"/>
      <c r="AK59" s="349"/>
      <c r="AL59" s="250"/>
      <c r="AM59" s="349"/>
      <c r="AN59" s="251"/>
      <c r="AO59" s="251"/>
      <c r="AP59" s="251"/>
      <c r="AQ59" s="251"/>
      <c r="AR59" s="350"/>
      <c r="AS59" s="250"/>
      <c r="AT59" s="250"/>
      <c r="AU59" s="349"/>
      <c r="AV59" s="250"/>
      <c r="AW59" s="349"/>
      <c r="AX59" s="251"/>
      <c r="AY59" s="349"/>
      <c r="AZ59" s="302"/>
      <c r="BA59" s="349"/>
      <c r="BB59" s="249"/>
      <c r="BC59" s="350"/>
      <c r="BD59" s="350"/>
      <c r="BE59" s="350"/>
      <c r="BF59" s="350"/>
      <c r="BG59" s="350"/>
    </row>
    <row r="60" spans="1:105">
      <c r="D60" s="347"/>
      <c r="E60" s="347"/>
      <c r="F60" s="347"/>
      <c r="G60" s="347"/>
      <c r="H60" s="347"/>
      <c r="I60" s="347"/>
      <c r="J60" s="347"/>
      <c r="K60" s="249"/>
      <c r="L60" s="347"/>
      <c r="M60" s="347"/>
      <c r="N60" s="347"/>
      <c r="O60" s="249"/>
      <c r="P60" s="347"/>
      <c r="Q60" s="347"/>
      <c r="R60" s="347"/>
      <c r="S60" s="347"/>
      <c r="T60" s="347"/>
      <c r="U60" s="347"/>
      <c r="V60" s="347"/>
      <c r="W60" s="288"/>
      <c r="AJ60" s="250"/>
      <c r="AK60" s="254"/>
      <c r="AL60" s="250"/>
      <c r="AM60" s="254"/>
      <c r="AN60" s="251"/>
      <c r="AO60" s="251"/>
      <c r="AP60" s="251"/>
      <c r="AQ60" s="251"/>
      <c r="AW60" s="254"/>
      <c r="AX60" s="249"/>
      <c r="AY60" s="254"/>
      <c r="AZ60" s="249"/>
      <c r="BA60" s="254"/>
      <c r="BB60" s="249"/>
      <c r="BE60" s="254"/>
      <c r="BG60" s="250" t="e">
        <f>MAX(BG53:BG57)</f>
        <v>#N/A</v>
      </c>
      <c r="CS60" s="351" t="s">
        <v>411</v>
      </c>
      <c r="CT60" s="352"/>
      <c r="CU60" s="352"/>
      <c r="CV60" s="342" t="e">
        <f>CV58-CS58</f>
        <v>#N/A</v>
      </c>
      <c r="CW60" s="342" t="e">
        <f>CW58-CT58</f>
        <v>#N/A</v>
      </c>
      <c r="CX60" s="342" t="e">
        <f>CX58-CU58</f>
        <v>#N/A</v>
      </c>
      <c r="CY60" s="342" t="e">
        <f>CY58-CS58</f>
        <v>#N/A</v>
      </c>
      <c r="CZ60" s="342" t="e">
        <f>CZ58-CT58</f>
        <v>#N/A</v>
      </c>
      <c r="DA60" s="342" t="e">
        <f>DA58-CU58</f>
        <v>#N/A</v>
      </c>
    </row>
    <row r="61" spans="1:105">
      <c r="C61" s="287"/>
      <c r="D61" s="347"/>
      <c r="E61" s="347"/>
      <c r="F61" s="347"/>
      <c r="G61" s="347"/>
      <c r="H61" s="347"/>
      <c r="P61" s="347"/>
      <c r="W61" s="288"/>
      <c r="BG61" s="250" t="e">
        <f>MIN(BG53:BG57)</f>
        <v>#N/A</v>
      </c>
      <c r="CS61" s="351" t="s">
        <v>412</v>
      </c>
      <c r="CT61" s="352"/>
      <c r="CU61" s="352"/>
      <c r="CV61" s="342"/>
      <c r="CW61" s="336"/>
      <c r="CX61" s="336"/>
      <c r="CY61" s="342" t="e">
        <f>CY58-CV58</f>
        <v>#N/A</v>
      </c>
      <c r="CZ61" s="342" t="e">
        <f>CZ58-CW58</f>
        <v>#N/A</v>
      </c>
      <c r="DA61" s="342" t="e">
        <f>DA58-CX58</f>
        <v>#N/A</v>
      </c>
    </row>
    <row r="62" spans="1:105">
      <c r="C62" s="287"/>
      <c r="D62" s="347"/>
      <c r="E62" s="347"/>
      <c r="F62" s="347"/>
      <c r="G62" s="347"/>
      <c r="H62" s="347"/>
      <c r="P62" s="347"/>
      <c r="W62" s="288"/>
    </row>
    <row r="63" spans="1:105">
      <c r="C63" s="287"/>
      <c r="D63" s="347"/>
      <c r="E63" s="347"/>
      <c r="F63" s="347"/>
      <c r="G63" s="347"/>
      <c r="H63" s="347"/>
      <c r="P63" s="347"/>
      <c r="W63" s="288"/>
    </row>
    <row r="64" spans="1:105">
      <c r="C64" s="287"/>
      <c r="D64" s="347"/>
      <c r="E64" s="347"/>
      <c r="F64" s="347"/>
      <c r="G64" s="347"/>
      <c r="H64" s="347"/>
      <c r="P64" s="347"/>
      <c r="W64" s="288"/>
    </row>
    <row r="65" spans="3:94">
      <c r="C65" s="287"/>
      <c r="D65" s="347"/>
      <c r="E65" s="347"/>
      <c r="F65" s="347"/>
      <c r="G65" s="347"/>
      <c r="H65" s="347"/>
      <c r="P65" s="347"/>
      <c r="W65" s="288"/>
    </row>
    <row r="66" spans="3:94">
      <c r="C66" s="287"/>
      <c r="D66" s="347"/>
      <c r="E66" s="347"/>
      <c r="F66" s="347"/>
      <c r="G66" s="347"/>
      <c r="H66" s="347"/>
      <c r="P66" s="347"/>
      <c r="W66" s="288"/>
    </row>
    <row r="67" spans="3:94">
      <c r="C67" s="287"/>
      <c r="D67" s="347"/>
      <c r="E67" s="347"/>
      <c r="F67" s="347"/>
      <c r="G67" s="347"/>
      <c r="H67" s="347"/>
      <c r="P67" s="347"/>
      <c r="W67" s="288"/>
    </row>
    <row r="68" spans="3:94">
      <c r="C68" s="287"/>
      <c r="D68" s="347"/>
      <c r="E68" s="347"/>
      <c r="F68" s="347"/>
      <c r="G68" s="347"/>
      <c r="H68" s="347"/>
      <c r="P68" s="347"/>
      <c r="W68" s="288"/>
    </row>
    <row r="69" spans="3:94">
      <c r="C69" s="287"/>
      <c r="D69" s="347"/>
      <c r="E69" s="347"/>
      <c r="F69" s="347"/>
      <c r="G69" s="347"/>
      <c r="H69" s="347"/>
      <c r="P69" s="347"/>
      <c r="W69" s="288"/>
    </row>
    <row r="70" spans="3:94">
      <c r="C70" s="287"/>
      <c r="D70" s="347"/>
      <c r="E70" s="347"/>
      <c r="F70" s="347"/>
      <c r="G70" s="347"/>
      <c r="H70" s="347"/>
      <c r="P70" s="347"/>
      <c r="W70" s="288"/>
    </row>
    <row r="71" spans="3:94">
      <c r="C71" s="287"/>
      <c r="D71" s="347"/>
      <c r="E71" s="347"/>
      <c r="F71" s="347"/>
      <c r="G71" s="347"/>
      <c r="H71" s="347"/>
      <c r="P71" s="347"/>
      <c r="W71" s="288"/>
    </row>
    <row r="72" spans="3:94">
      <c r="C72" s="287"/>
      <c r="D72" s="347"/>
      <c r="E72" s="347"/>
      <c r="F72" s="347"/>
      <c r="G72" s="347"/>
      <c r="H72" s="347"/>
      <c r="P72" s="347"/>
      <c r="W72" s="288"/>
    </row>
    <row r="73" spans="3:94">
      <c r="C73" s="287"/>
      <c r="D73" s="347"/>
      <c r="E73" s="347"/>
      <c r="F73" s="347"/>
      <c r="G73" s="347"/>
      <c r="H73" s="347"/>
      <c r="K73" s="249"/>
      <c r="O73" s="249"/>
      <c r="P73" s="347"/>
      <c r="W73" s="288"/>
      <c r="X73" s="249"/>
      <c r="Y73" s="249"/>
      <c r="Z73" s="249"/>
      <c r="AA73" s="249"/>
      <c r="AB73" s="249"/>
      <c r="AC73" s="249"/>
      <c r="AD73" s="249"/>
      <c r="AE73" s="249"/>
      <c r="AF73" s="249"/>
      <c r="AG73" s="353"/>
      <c r="AH73" s="353"/>
      <c r="AI73" s="353"/>
      <c r="AJ73" s="249"/>
      <c r="AK73" s="249"/>
      <c r="AL73" s="249"/>
      <c r="AQ73" s="249"/>
      <c r="AR73" s="249"/>
      <c r="AS73" s="249"/>
      <c r="AT73" s="249"/>
      <c r="AU73" s="249"/>
      <c r="AV73" s="249"/>
      <c r="AX73" s="249"/>
      <c r="AZ73" s="249"/>
      <c r="BB73" s="249"/>
      <c r="BC73" s="249"/>
      <c r="BD73" s="249"/>
      <c r="CB73" s="249"/>
      <c r="CC73" s="249"/>
      <c r="CD73" s="249"/>
      <c r="CE73" s="249"/>
      <c r="CM73" s="249"/>
      <c r="CN73" s="249"/>
      <c r="CO73" s="249"/>
      <c r="CP73" s="249"/>
    </row>
    <row r="74" spans="3:94">
      <c r="C74" s="287"/>
      <c r="D74" s="347"/>
      <c r="E74" s="347"/>
      <c r="F74" s="347"/>
      <c r="G74" s="347"/>
      <c r="H74" s="347"/>
      <c r="K74" s="249"/>
      <c r="O74" s="249"/>
      <c r="P74" s="347"/>
      <c r="W74" s="288"/>
      <c r="X74" s="249"/>
      <c r="Y74" s="249"/>
      <c r="Z74" s="249"/>
      <c r="AA74" s="249"/>
      <c r="AB74" s="249"/>
      <c r="AC74" s="249"/>
      <c r="AD74" s="249"/>
      <c r="AE74" s="249"/>
      <c r="AF74" s="249"/>
      <c r="AG74" s="353"/>
      <c r="AH74" s="353"/>
      <c r="AI74" s="353"/>
      <c r="AJ74" s="249"/>
      <c r="AK74" s="249"/>
      <c r="AL74" s="249"/>
      <c r="AQ74" s="249"/>
      <c r="AR74" s="249"/>
      <c r="AS74" s="249"/>
      <c r="AT74" s="249"/>
      <c r="AU74" s="249"/>
      <c r="AV74" s="249"/>
      <c r="AX74" s="249"/>
      <c r="AZ74" s="249"/>
      <c r="BB74" s="249"/>
      <c r="BC74" s="249"/>
      <c r="BD74" s="249"/>
      <c r="CB74" s="249"/>
      <c r="CC74" s="249"/>
      <c r="CD74" s="249"/>
      <c r="CE74" s="249"/>
      <c r="CM74" s="249"/>
      <c r="CN74" s="249"/>
      <c r="CO74" s="249"/>
      <c r="CP74" s="249"/>
    </row>
    <row r="75" spans="3:94">
      <c r="C75" s="287"/>
      <c r="D75" s="347"/>
      <c r="E75" s="347"/>
      <c r="F75" s="347"/>
      <c r="G75" s="347"/>
      <c r="H75" s="347"/>
      <c r="K75" s="249"/>
      <c r="O75" s="249"/>
      <c r="P75" s="347"/>
      <c r="W75" s="288"/>
      <c r="X75" s="249"/>
      <c r="Y75" s="249"/>
      <c r="Z75" s="249"/>
      <c r="AA75" s="249"/>
      <c r="AB75" s="249"/>
      <c r="AC75" s="249"/>
      <c r="AD75" s="249"/>
      <c r="AE75" s="249"/>
      <c r="AF75" s="249"/>
      <c r="AG75" s="353"/>
      <c r="AH75" s="353"/>
      <c r="AI75" s="353"/>
      <c r="AJ75" s="249"/>
      <c r="AK75" s="249"/>
      <c r="AL75" s="249"/>
      <c r="AQ75" s="249"/>
      <c r="AR75" s="249"/>
      <c r="AS75" s="249"/>
      <c r="AT75" s="249"/>
      <c r="AU75" s="249"/>
      <c r="AV75" s="249"/>
      <c r="AX75" s="249"/>
      <c r="AZ75" s="249"/>
      <c r="BB75" s="249"/>
      <c r="BC75" s="249"/>
      <c r="BD75" s="249"/>
      <c r="CB75" s="249"/>
      <c r="CC75" s="249"/>
      <c r="CD75" s="249"/>
      <c r="CE75" s="249"/>
      <c r="CM75" s="249"/>
      <c r="CN75" s="249"/>
      <c r="CO75" s="249"/>
      <c r="CP75" s="249"/>
    </row>
    <row r="76" spans="3:94">
      <c r="C76" s="287"/>
      <c r="D76" s="347"/>
      <c r="E76" s="347"/>
      <c r="F76" s="347"/>
      <c r="G76" s="347"/>
      <c r="H76" s="347"/>
      <c r="K76" s="249"/>
      <c r="O76" s="249"/>
      <c r="P76" s="347"/>
      <c r="W76" s="288"/>
      <c r="X76" s="249"/>
      <c r="Y76" s="249"/>
      <c r="Z76" s="249"/>
      <c r="AA76" s="249"/>
      <c r="AB76" s="249"/>
      <c r="AC76" s="249"/>
      <c r="AD76" s="249"/>
      <c r="AE76" s="249"/>
      <c r="AF76" s="249"/>
      <c r="AG76" s="353"/>
      <c r="AH76" s="353"/>
      <c r="AI76" s="353"/>
      <c r="AJ76" s="249"/>
      <c r="AK76" s="249"/>
      <c r="AL76" s="249"/>
      <c r="AQ76" s="249"/>
      <c r="AR76" s="249"/>
      <c r="AS76" s="249"/>
      <c r="AT76" s="249"/>
      <c r="AU76" s="249"/>
      <c r="AV76" s="249"/>
      <c r="AX76" s="249"/>
      <c r="AZ76" s="249"/>
      <c r="BB76" s="249"/>
      <c r="BC76" s="249"/>
      <c r="BD76" s="249"/>
      <c r="CB76" s="249"/>
      <c r="CC76" s="249"/>
      <c r="CD76" s="249"/>
      <c r="CE76" s="249"/>
      <c r="CM76" s="249"/>
      <c r="CN76" s="249"/>
      <c r="CO76" s="249"/>
      <c r="CP76" s="249"/>
    </row>
    <row r="77" spans="3:94">
      <c r="C77" s="287"/>
      <c r="D77" s="347"/>
      <c r="E77" s="347"/>
      <c r="F77" s="347"/>
      <c r="G77" s="347"/>
      <c r="H77" s="347"/>
      <c r="K77" s="249"/>
      <c r="O77" s="249"/>
      <c r="P77" s="347"/>
      <c r="W77" s="288"/>
      <c r="X77" s="249"/>
      <c r="Y77" s="249"/>
      <c r="Z77" s="249"/>
      <c r="AA77" s="249"/>
      <c r="AB77" s="249"/>
      <c r="AC77" s="249"/>
      <c r="AD77" s="249"/>
      <c r="AE77" s="249"/>
      <c r="AF77" s="249"/>
      <c r="AG77" s="353"/>
      <c r="AH77" s="353"/>
      <c r="AI77" s="353"/>
      <c r="AJ77" s="249"/>
      <c r="AK77" s="249"/>
      <c r="AL77" s="249"/>
      <c r="AQ77" s="249"/>
      <c r="AR77" s="249"/>
      <c r="AS77" s="249"/>
      <c r="AT77" s="249"/>
      <c r="AU77" s="249"/>
      <c r="AV77" s="249"/>
      <c r="AX77" s="249"/>
      <c r="AZ77" s="249"/>
      <c r="BB77" s="249"/>
      <c r="BC77" s="249"/>
      <c r="BD77" s="249"/>
      <c r="CB77" s="249"/>
      <c r="CC77" s="249"/>
      <c r="CD77" s="249"/>
      <c r="CE77" s="249"/>
      <c r="CM77" s="249"/>
      <c r="CN77" s="249"/>
      <c r="CO77" s="249"/>
      <c r="CP77" s="249"/>
    </row>
    <row r="78" spans="3:94">
      <c r="C78" s="287"/>
      <c r="D78" s="347"/>
      <c r="E78" s="347"/>
      <c r="F78" s="347"/>
      <c r="G78" s="347"/>
      <c r="H78" s="347"/>
      <c r="K78" s="249"/>
      <c r="O78" s="249"/>
      <c r="P78" s="347"/>
      <c r="W78" s="288"/>
      <c r="X78" s="249"/>
      <c r="Y78" s="249"/>
      <c r="Z78" s="249"/>
      <c r="AA78" s="249"/>
      <c r="AB78" s="249"/>
      <c r="AC78" s="249"/>
      <c r="AD78" s="249"/>
      <c r="AE78" s="249"/>
      <c r="AF78" s="249"/>
      <c r="AG78" s="353"/>
      <c r="AH78" s="353"/>
      <c r="AI78" s="353"/>
      <c r="AJ78" s="249"/>
      <c r="AK78" s="249"/>
      <c r="AL78" s="249"/>
      <c r="AQ78" s="249"/>
      <c r="AR78" s="249"/>
      <c r="AS78" s="249"/>
      <c r="AT78" s="249"/>
      <c r="AU78" s="249"/>
      <c r="AV78" s="249"/>
      <c r="AX78" s="249"/>
      <c r="AZ78" s="249"/>
      <c r="BB78" s="249"/>
      <c r="BC78" s="249"/>
      <c r="BD78" s="249"/>
      <c r="CB78" s="249"/>
      <c r="CC78" s="249"/>
      <c r="CD78" s="249"/>
      <c r="CE78" s="249"/>
      <c r="CM78" s="249"/>
      <c r="CN78" s="249"/>
      <c r="CO78" s="249"/>
      <c r="CP78" s="249"/>
    </row>
    <row r="79" spans="3:94">
      <c r="C79" s="287"/>
      <c r="D79" s="347"/>
      <c r="E79" s="347"/>
      <c r="F79" s="347"/>
      <c r="G79" s="347"/>
      <c r="H79" s="347"/>
      <c r="K79" s="249"/>
      <c r="O79" s="249"/>
      <c r="P79" s="347"/>
      <c r="W79" s="288"/>
      <c r="X79" s="249"/>
      <c r="Y79" s="249"/>
      <c r="Z79" s="249"/>
      <c r="AA79" s="249"/>
      <c r="AB79" s="249"/>
      <c r="AC79" s="249"/>
      <c r="AD79" s="249"/>
      <c r="AE79" s="249"/>
      <c r="AF79" s="249"/>
      <c r="AG79" s="353"/>
      <c r="AH79" s="353"/>
      <c r="AI79" s="353"/>
      <c r="AJ79" s="249"/>
      <c r="AK79" s="249"/>
      <c r="AL79" s="249"/>
      <c r="AQ79" s="249"/>
      <c r="AR79" s="249"/>
      <c r="AS79" s="249"/>
      <c r="AT79" s="249"/>
      <c r="AU79" s="249"/>
      <c r="AV79" s="249"/>
      <c r="AX79" s="249"/>
      <c r="AZ79" s="249"/>
      <c r="BB79" s="249"/>
      <c r="BC79" s="249"/>
      <c r="BD79" s="249"/>
      <c r="CB79" s="249"/>
      <c r="CC79" s="249"/>
      <c r="CD79" s="249"/>
      <c r="CE79" s="249"/>
      <c r="CM79" s="249"/>
      <c r="CN79" s="249"/>
      <c r="CO79" s="249"/>
      <c r="CP79" s="249"/>
    </row>
    <row r="80" spans="3:94">
      <c r="C80" s="287"/>
      <c r="D80" s="347"/>
      <c r="E80" s="347"/>
      <c r="F80" s="347"/>
      <c r="G80" s="347"/>
      <c r="H80" s="347"/>
      <c r="K80" s="249"/>
      <c r="O80" s="249"/>
      <c r="P80" s="347"/>
      <c r="X80" s="249"/>
      <c r="Y80" s="249"/>
      <c r="Z80" s="249"/>
      <c r="AA80" s="249"/>
      <c r="AB80" s="249"/>
      <c r="AC80" s="249"/>
      <c r="AD80" s="249"/>
      <c r="AE80" s="249"/>
      <c r="AF80" s="249"/>
      <c r="AG80" s="353"/>
      <c r="AH80" s="353"/>
      <c r="AI80" s="353"/>
      <c r="AJ80" s="249"/>
      <c r="AK80" s="249"/>
      <c r="AL80" s="249"/>
      <c r="AQ80" s="249"/>
      <c r="AR80" s="249"/>
      <c r="AS80" s="249"/>
      <c r="AT80" s="249"/>
      <c r="AU80" s="249"/>
      <c r="AV80" s="249"/>
      <c r="AX80" s="249"/>
      <c r="AZ80" s="249"/>
      <c r="BB80" s="249"/>
      <c r="BC80" s="249"/>
      <c r="BD80" s="249"/>
      <c r="CB80" s="249"/>
      <c r="CC80" s="249"/>
      <c r="CD80" s="249"/>
      <c r="CE80" s="249"/>
      <c r="CM80" s="249"/>
      <c r="CN80" s="249"/>
      <c r="CO80" s="249"/>
      <c r="CP80" s="249"/>
    </row>
    <row r="81" spans="3:94">
      <c r="C81" s="287"/>
      <c r="D81" s="347"/>
      <c r="E81" s="347"/>
      <c r="F81" s="347"/>
      <c r="G81" s="347"/>
      <c r="H81" s="347"/>
      <c r="K81" s="249"/>
      <c r="O81" s="249"/>
      <c r="P81" s="347"/>
      <c r="X81" s="249"/>
      <c r="Y81" s="249"/>
      <c r="Z81" s="249"/>
      <c r="AA81" s="249"/>
      <c r="AB81" s="249"/>
      <c r="AC81" s="249"/>
      <c r="AD81" s="249"/>
      <c r="AE81" s="249"/>
      <c r="AF81" s="249"/>
      <c r="AG81" s="353"/>
      <c r="AH81" s="353"/>
      <c r="AI81" s="353"/>
      <c r="AJ81" s="249"/>
      <c r="AK81" s="249"/>
      <c r="AL81" s="249"/>
      <c r="AQ81" s="249"/>
      <c r="AR81" s="249"/>
      <c r="AS81" s="249"/>
      <c r="AT81" s="249"/>
      <c r="AU81" s="249"/>
      <c r="AV81" s="249"/>
      <c r="AX81" s="249"/>
      <c r="AZ81" s="249"/>
      <c r="BB81" s="249"/>
      <c r="BC81" s="249"/>
      <c r="BD81" s="249"/>
      <c r="CB81" s="249"/>
      <c r="CC81" s="249"/>
      <c r="CD81" s="249"/>
      <c r="CE81" s="249"/>
      <c r="CM81" s="249"/>
      <c r="CN81" s="249"/>
      <c r="CO81" s="249"/>
      <c r="CP81" s="249"/>
    </row>
    <row r="82" spans="3:94">
      <c r="C82" s="287"/>
      <c r="D82" s="347"/>
      <c r="E82" s="347"/>
      <c r="F82" s="347"/>
      <c r="G82" s="347"/>
      <c r="H82" s="347"/>
      <c r="K82" s="249"/>
      <c r="O82" s="249"/>
      <c r="P82" s="347"/>
      <c r="X82" s="249"/>
      <c r="Y82" s="249"/>
      <c r="Z82" s="249"/>
      <c r="AA82" s="249"/>
      <c r="AB82" s="249"/>
      <c r="AC82" s="249"/>
      <c r="AD82" s="249"/>
      <c r="AE82" s="249"/>
      <c r="AF82" s="249"/>
      <c r="AG82" s="353"/>
      <c r="AH82" s="353"/>
      <c r="AI82" s="353"/>
      <c r="AJ82" s="249"/>
      <c r="AK82" s="249"/>
      <c r="AL82" s="249"/>
      <c r="AQ82" s="249"/>
      <c r="AR82" s="249"/>
      <c r="AS82" s="249"/>
      <c r="AT82" s="249"/>
      <c r="AU82" s="249"/>
      <c r="AV82" s="249"/>
      <c r="AX82" s="249"/>
      <c r="AZ82" s="249"/>
      <c r="BB82" s="249"/>
      <c r="BC82" s="249"/>
      <c r="BD82" s="249"/>
      <c r="CB82" s="249"/>
      <c r="CC82" s="249"/>
      <c r="CD82" s="249"/>
      <c r="CE82" s="249"/>
      <c r="CM82" s="249"/>
      <c r="CN82" s="249"/>
      <c r="CO82" s="249"/>
      <c r="CP82" s="249"/>
    </row>
    <row r="83" spans="3:94">
      <c r="C83" s="287"/>
      <c r="D83" s="347"/>
      <c r="E83" s="347"/>
      <c r="F83" s="347"/>
      <c r="G83" s="347"/>
      <c r="H83" s="347"/>
      <c r="K83" s="249"/>
      <c r="O83" s="249"/>
      <c r="P83" s="347"/>
      <c r="X83" s="249"/>
      <c r="Y83" s="249"/>
      <c r="Z83" s="249"/>
      <c r="AA83" s="249"/>
      <c r="AB83" s="249"/>
      <c r="AC83" s="249"/>
      <c r="AD83" s="249"/>
      <c r="AE83" s="249"/>
      <c r="AF83" s="249"/>
      <c r="AG83" s="353"/>
      <c r="AH83" s="353"/>
      <c r="AI83" s="353"/>
      <c r="AJ83" s="249"/>
      <c r="AK83" s="249"/>
      <c r="AL83" s="249"/>
      <c r="AQ83" s="249"/>
      <c r="AR83" s="249"/>
      <c r="AS83" s="249"/>
      <c r="AT83" s="249"/>
      <c r="AU83" s="249"/>
      <c r="AV83" s="249"/>
      <c r="AX83" s="249"/>
      <c r="AZ83" s="249"/>
      <c r="BB83" s="249"/>
      <c r="BC83" s="249"/>
      <c r="BD83" s="249"/>
      <c r="CB83" s="249"/>
      <c r="CC83" s="249"/>
      <c r="CD83" s="249"/>
      <c r="CE83" s="249"/>
      <c r="CM83" s="249"/>
      <c r="CN83" s="249"/>
      <c r="CO83" s="249"/>
      <c r="CP83" s="249"/>
    </row>
    <row r="84" spans="3:94">
      <c r="C84" s="287"/>
      <c r="D84" s="347"/>
      <c r="E84" s="347"/>
      <c r="F84" s="347"/>
      <c r="G84" s="347"/>
      <c r="H84" s="347"/>
      <c r="K84" s="249"/>
      <c r="O84" s="249"/>
      <c r="P84" s="347"/>
      <c r="X84" s="249"/>
      <c r="Y84" s="249"/>
      <c r="Z84" s="249"/>
      <c r="AA84" s="249"/>
      <c r="AB84" s="249"/>
      <c r="AC84" s="249"/>
      <c r="AD84" s="249"/>
      <c r="AE84" s="249"/>
      <c r="AF84" s="249"/>
      <c r="AG84" s="353"/>
      <c r="AH84" s="353"/>
      <c r="AI84" s="353"/>
      <c r="AJ84" s="249"/>
      <c r="AK84" s="249"/>
      <c r="AL84" s="249"/>
      <c r="AQ84" s="249"/>
      <c r="AR84" s="249"/>
      <c r="AS84" s="249"/>
      <c r="AT84" s="249"/>
      <c r="AU84" s="249"/>
      <c r="AV84" s="249"/>
      <c r="AX84" s="249"/>
      <c r="AZ84" s="249"/>
      <c r="BB84" s="249"/>
      <c r="BC84" s="249"/>
      <c r="BD84" s="249"/>
      <c r="CB84" s="249"/>
      <c r="CC84" s="249"/>
      <c r="CD84" s="249"/>
      <c r="CE84" s="249"/>
      <c r="CM84" s="249"/>
      <c r="CN84" s="249"/>
      <c r="CO84" s="249"/>
      <c r="CP84" s="249"/>
    </row>
    <row r="85" spans="3:94">
      <c r="C85" s="287"/>
      <c r="D85" s="347"/>
      <c r="E85" s="347"/>
      <c r="F85" s="347"/>
      <c r="G85" s="347"/>
      <c r="H85" s="347"/>
      <c r="K85" s="249"/>
      <c r="O85" s="249"/>
      <c r="P85" s="347"/>
      <c r="X85" s="249"/>
      <c r="Y85" s="249"/>
      <c r="Z85" s="249"/>
      <c r="AA85" s="249"/>
      <c r="AB85" s="249"/>
      <c r="AC85" s="249"/>
      <c r="AD85" s="249"/>
      <c r="AE85" s="249"/>
      <c r="AF85" s="249"/>
      <c r="AG85" s="353"/>
      <c r="AH85" s="353"/>
      <c r="AI85" s="353"/>
      <c r="AJ85" s="249"/>
      <c r="AK85" s="249"/>
      <c r="AL85" s="249"/>
      <c r="AQ85" s="249"/>
      <c r="AR85" s="249"/>
      <c r="AS85" s="249"/>
      <c r="AT85" s="249"/>
      <c r="AU85" s="249"/>
      <c r="AV85" s="249"/>
      <c r="AX85" s="249"/>
      <c r="AZ85" s="249"/>
      <c r="BB85" s="249"/>
      <c r="BC85" s="249"/>
      <c r="BD85" s="249"/>
      <c r="CB85" s="249"/>
      <c r="CC85" s="249"/>
      <c r="CD85" s="249"/>
      <c r="CE85" s="249"/>
      <c r="CM85" s="249"/>
      <c r="CN85" s="249"/>
      <c r="CO85" s="249"/>
      <c r="CP85" s="249"/>
    </row>
    <row r="86" spans="3:94">
      <c r="C86" s="287"/>
      <c r="D86" s="347"/>
      <c r="E86" s="347"/>
      <c r="F86" s="347"/>
      <c r="G86" s="347"/>
      <c r="H86" s="347"/>
      <c r="K86" s="249"/>
      <c r="O86" s="249"/>
      <c r="P86" s="347"/>
      <c r="X86" s="249"/>
      <c r="Y86" s="249"/>
      <c r="Z86" s="249"/>
      <c r="AA86" s="249"/>
      <c r="AB86" s="249"/>
      <c r="AC86" s="249"/>
      <c r="AD86" s="249"/>
      <c r="AE86" s="249"/>
      <c r="AF86" s="249"/>
      <c r="AG86" s="353"/>
      <c r="AH86" s="353"/>
      <c r="AI86" s="353"/>
      <c r="AJ86" s="249"/>
      <c r="AK86" s="249"/>
      <c r="AL86" s="249"/>
      <c r="AQ86" s="249"/>
      <c r="AR86" s="249"/>
      <c r="AS86" s="249"/>
      <c r="AT86" s="249"/>
      <c r="AU86" s="249"/>
      <c r="AV86" s="249"/>
      <c r="AX86" s="249"/>
      <c r="AZ86" s="249"/>
      <c r="BB86" s="249"/>
      <c r="BC86" s="249"/>
      <c r="BD86" s="249"/>
      <c r="CB86" s="249"/>
      <c r="CC86" s="249"/>
      <c r="CD86" s="249"/>
      <c r="CE86" s="249"/>
      <c r="CM86" s="249"/>
      <c r="CN86" s="249"/>
      <c r="CO86" s="249"/>
      <c r="CP86" s="249"/>
    </row>
    <row r="87" spans="3:94">
      <c r="C87" s="287"/>
      <c r="D87" s="347"/>
      <c r="E87" s="347"/>
      <c r="F87" s="347"/>
      <c r="G87" s="347"/>
      <c r="H87" s="347"/>
      <c r="K87" s="249"/>
      <c r="O87" s="249"/>
      <c r="P87" s="347"/>
      <c r="X87" s="249"/>
      <c r="Y87" s="249"/>
      <c r="Z87" s="249"/>
      <c r="AA87" s="249"/>
      <c r="AB87" s="249"/>
      <c r="AC87" s="249"/>
      <c r="AD87" s="249"/>
      <c r="AE87" s="249"/>
      <c r="AF87" s="249"/>
      <c r="AG87" s="353"/>
      <c r="AH87" s="353"/>
      <c r="AI87" s="353"/>
      <c r="AJ87" s="249"/>
      <c r="AK87" s="249"/>
      <c r="AL87" s="249"/>
      <c r="AQ87" s="249"/>
      <c r="AR87" s="249"/>
      <c r="AS87" s="249"/>
      <c r="AT87" s="249"/>
      <c r="AU87" s="249"/>
      <c r="AV87" s="249"/>
      <c r="AX87" s="249"/>
      <c r="AZ87" s="249"/>
      <c r="BB87" s="249"/>
      <c r="BC87" s="249"/>
      <c r="BD87" s="249"/>
      <c r="CB87" s="249"/>
      <c r="CC87" s="249"/>
      <c r="CD87" s="249"/>
      <c r="CE87" s="249"/>
      <c r="CM87" s="249"/>
      <c r="CN87" s="249"/>
      <c r="CO87" s="249"/>
      <c r="CP87" s="249"/>
    </row>
    <row r="88" spans="3:94">
      <c r="C88" s="287"/>
      <c r="D88" s="347"/>
      <c r="E88" s="347"/>
      <c r="F88" s="347"/>
      <c r="G88" s="347"/>
      <c r="H88" s="347"/>
      <c r="K88" s="249"/>
      <c r="O88" s="249"/>
      <c r="P88" s="347"/>
      <c r="X88" s="249"/>
      <c r="Y88" s="249"/>
      <c r="Z88" s="249"/>
      <c r="AA88" s="249"/>
      <c r="AB88" s="249"/>
      <c r="AC88" s="249"/>
      <c r="AD88" s="249"/>
      <c r="AE88" s="249"/>
      <c r="AF88" s="249"/>
      <c r="AG88" s="353"/>
      <c r="AH88" s="353"/>
      <c r="AI88" s="353"/>
      <c r="AJ88" s="249"/>
      <c r="AK88" s="249"/>
      <c r="AL88" s="249"/>
      <c r="AQ88" s="249"/>
      <c r="AR88" s="249"/>
      <c r="AS88" s="249"/>
      <c r="AT88" s="249"/>
      <c r="AU88" s="249"/>
      <c r="AV88" s="249"/>
      <c r="AX88" s="249"/>
      <c r="AZ88" s="249"/>
      <c r="BB88" s="249"/>
      <c r="BC88" s="249"/>
      <c r="BD88" s="249"/>
      <c r="CB88" s="249"/>
      <c r="CC88" s="249"/>
      <c r="CD88" s="249"/>
      <c r="CE88" s="249"/>
      <c r="CM88" s="249"/>
      <c r="CN88" s="249"/>
      <c r="CO88" s="249"/>
      <c r="CP88" s="249"/>
    </row>
    <row r="89" spans="3:94">
      <c r="C89" s="287"/>
      <c r="D89" s="347"/>
      <c r="E89" s="347"/>
      <c r="F89" s="347"/>
      <c r="G89" s="347"/>
      <c r="H89" s="347"/>
      <c r="K89" s="249"/>
      <c r="O89" s="249"/>
      <c r="P89" s="347"/>
      <c r="X89" s="249"/>
      <c r="Y89" s="249"/>
      <c r="Z89" s="249"/>
      <c r="AA89" s="249"/>
      <c r="AB89" s="249"/>
      <c r="AC89" s="249"/>
      <c r="AD89" s="249"/>
      <c r="AE89" s="249"/>
      <c r="AF89" s="249"/>
      <c r="AG89" s="353"/>
      <c r="AH89" s="353"/>
      <c r="AI89" s="353"/>
      <c r="AJ89" s="249"/>
      <c r="AK89" s="249"/>
      <c r="AL89" s="249"/>
      <c r="AQ89" s="249"/>
      <c r="AR89" s="249"/>
      <c r="AS89" s="249"/>
      <c r="AT89" s="249"/>
      <c r="AU89" s="249"/>
      <c r="AV89" s="249"/>
      <c r="AX89" s="249"/>
      <c r="AZ89" s="249"/>
      <c r="BB89" s="249"/>
      <c r="BC89" s="249"/>
      <c r="BD89" s="249"/>
      <c r="CB89" s="249"/>
      <c r="CC89" s="249"/>
      <c r="CD89" s="249"/>
      <c r="CE89" s="249"/>
      <c r="CM89" s="249"/>
      <c r="CN89" s="249"/>
      <c r="CO89" s="249"/>
      <c r="CP89" s="249"/>
    </row>
    <row r="90" spans="3:94">
      <c r="C90" s="287"/>
      <c r="D90" s="347"/>
      <c r="E90" s="347"/>
      <c r="F90" s="347"/>
      <c r="G90" s="347"/>
      <c r="H90" s="347"/>
      <c r="K90" s="249"/>
      <c r="O90" s="249"/>
      <c r="P90" s="347"/>
      <c r="X90" s="249"/>
      <c r="Y90" s="249"/>
      <c r="Z90" s="249"/>
      <c r="AA90" s="249"/>
      <c r="AB90" s="249"/>
      <c r="AC90" s="249"/>
      <c r="AD90" s="249"/>
      <c r="AE90" s="249"/>
      <c r="AF90" s="249"/>
      <c r="AG90" s="353"/>
      <c r="AH90" s="353"/>
      <c r="AI90" s="353"/>
      <c r="AJ90" s="249"/>
      <c r="AK90" s="249"/>
      <c r="AL90" s="249"/>
      <c r="AQ90" s="249"/>
      <c r="AR90" s="249"/>
      <c r="AS90" s="249"/>
      <c r="AT90" s="249"/>
      <c r="AU90" s="249"/>
      <c r="AV90" s="249"/>
      <c r="AX90" s="249"/>
      <c r="AZ90" s="249"/>
      <c r="BB90" s="249"/>
      <c r="BC90" s="249"/>
      <c r="BD90" s="249"/>
      <c r="CB90" s="249"/>
      <c r="CC90" s="249"/>
      <c r="CD90" s="249"/>
      <c r="CE90" s="249"/>
      <c r="CM90" s="249"/>
      <c r="CN90" s="249"/>
      <c r="CO90" s="249"/>
      <c r="CP90" s="249"/>
    </row>
    <row r="91" spans="3:94">
      <c r="C91" s="287"/>
      <c r="D91" s="347"/>
      <c r="E91" s="347"/>
      <c r="F91" s="347"/>
      <c r="G91" s="347"/>
      <c r="H91" s="347"/>
      <c r="K91" s="249"/>
      <c r="O91" s="249"/>
      <c r="P91" s="347"/>
      <c r="X91" s="249"/>
      <c r="Y91" s="249"/>
      <c r="Z91" s="249"/>
      <c r="AA91" s="249"/>
      <c r="AB91" s="249"/>
      <c r="AC91" s="249"/>
      <c r="AD91" s="249"/>
      <c r="AE91" s="249"/>
      <c r="AF91" s="249"/>
      <c r="AG91" s="353"/>
      <c r="AH91" s="353"/>
      <c r="AI91" s="353"/>
      <c r="AJ91" s="249"/>
      <c r="AK91" s="249"/>
      <c r="AL91" s="249"/>
      <c r="AQ91" s="249"/>
      <c r="AR91" s="249"/>
      <c r="AS91" s="249"/>
      <c r="AT91" s="249"/>
      <c r="AU91" s="249"/>
      <c r="AV91" s="249"/>
      <c r="AX91" s="249"/>
      <c r="AZ91" s="249"/>
      <c r="BB91" s="249"/>
      <c r="BC91" s="249"/>
      <c r="BD91" s="249"/>
      <c r="CB91" s="249"/>
      <c r="CC91" s="249"/>
      <c r="CD91" s="249"/>
      <c r="CE91" s="249"/>
      <c r="CM91" s="249"/>
      <c r="CN91" s="249"/>
      <c r="CO91" s="249"/>
      <c r="CP91" s="249"/>
    </row>
    <row r="92" spans="3:94">
      <c r="C92" s="287"/>
      <c r="D92" s="347"/>
      <c r="E92" s="347"/>
      <c r="F92" s="347"/>
      <c r="G92" s="347"/>
      <c r="H92" s="347"/>
      <c r="K92" s="249"/>
      <c r="O92" s="249"/>
      <c r="P92" s="347"/>
      <c r="X92" s="249"/>
      <c r="Y92" s="249"/>
      <c r="Z92" s="249"/>
      <c r="AA92" s="249"/>
      <c r="AB92" s="249"/>
      <c r="AC92" s="249"/>
      <c r="AD92" s="249"/>
      <c r="AE92" s="249"/>
      <c r="AF92" s="249"/>
      <c r="AG92" s="353"/>
      <c r="AH92" s="353"/>
      <c r="AI92" s="353"/>
      <c r="AJ92" s="249"/>
      <c r="AK92" s="249"/>
      <c r="AL92" s="249"/>
      <c r="AQ92" s="249"/>
      <c r="AR92" s="249"/>
      <c r="AS92" s="249"/>
      <c r="AT92" s="249"/>
      <c r="AU92" s="249"/>
      <c r="AV92" s="249"/>
      <c r="AX92" s="249"/>
      <c r="AZ92" s="249"/>
      <c r="BB92" s="249"/>
      <c r="BC92" s="249"/>
      <c r="BD92" s="249"/>
      <c r="CB92" s="249"/>
      <c r="CC92" s="249"/>
      <c r="CD92" s="249"/>
      <c r="CE92" s="249"/>
      <c r="CM92" s="249"/>
      <c r="CN92" s="249"/>
      <c r="CO92" s="249"/>
      <c r="CP92" s="249"/>
    </row>
    <row r="93" spans="3:94">
      <c r="C93" s="287"/>
      <c r="D93" s="347"/>
      <c r="E93" s="347"/>
      <c r="F93" s="347"/>
      <c r="G93" s="347"/>
      <c r="H93" s="347"/>
      <c r="K93" s="249"/>
      <c r="O93" s="249"/>
      <c r="P93" s="347"/>
      <c r="X93" s="249"/>
      <c r="Y93" s="249"/>
      <c r="Z93" s="249"/>
      <c r="AA93" s="249"/>
      <c r="AB93" s="249"/>
      <c r="AC93" s="249"/>
      <c r="AD93" s="249"/>
      <c r="AE93" s="249"/>
      <c r="AF93" s="249"/>
      <c r="AG93" s="353"/>
      <c r="AH93" s="353"/>
      <c r="AI93" s="353"/>
      <c r="AJ93" s="249"/>
      <c r="AK93" s="249"/>
      <c r="AL93" s="249"/>
      <c r="AQ93" s="249"/>
      <c r="AR93" s="249"/>
      <c r="AS93" s="249"/>
      <c r="AT93" s="249"/>
      <c r="AU93" s="249"/>
      <c r="AV93" s="249"/>
      <c r="AX93" s="249"/>
      <c r="AZ93" s="249"/>
      <c r="BB93" s="249"/>
      <c r="BC93" s="249"/>
      <c r="BD93" s="249"/>
      <c r="CB93" s="249"/>
      <c r="CC93" s="249"/>
      <c r="CD93" s="249"/>
      <c r="CE93" s="249"/>
      <c r="CM93" s="249"/>
      <c r="CN93" s="249"/>
      <c r="CO93" s="249"/>
      <c r="CP93" s="249"/>
    </row>
    <row r="94" spans="3:94">
      <c r="C94" s="287"/>
      <c r="D94" s="347"/>
      <c r="E94" s="347"/>
      <c r="F94" s="347"/>
      <c r="G94" s="347"/>
      <c r="H94" s="347"/>
      <c r="K94" s="249"/>
      <c r="O94" s="249"/>
      <c r="P94" s="347"/>
      <c r="X94" s="249"/>
      <c r="Y94" s="249"/>
      <c r="Z94" s="249"/>
      <c r="AA94" s="249"/>
      <c r="AB94" s="249"/>
      <c r="AC94" s="249"/>
      <c r="AD94" s="249"/>
      <c r="AE94" s="249"/>
      <c r="AF94" s="249"/>
      <c r="AG94" s="353"/>
      <c r="AH94" s="353"/>
      <c r="AI94" s="353"/>
      <c r="AJ94" s="249"/>
      <c r="AK94" s="249"/>
      <c r="AL94" s="249"/>
      <c r="AQ94" s="249"/>
      <c r="AR94" s="249"/>
      <c r="AS94" s="249"/>
      <c r="AT94" s="249"/>
      <c r="AU94" s="249"/>
      <c r="AV94" s="249"/>
      <c r="AX94" s="249"/>
      <c r="AZ94" s="249"/>
      <c r="BB94" s="249"/>
      <c r="BC94" s="249"/>
      <c r="BD94" s="249"/>
      <c r="CB94" s="249"/>
      <c r="CC94" s="249"/>
      <c r="CD94" s="249"/>
      <c r="CE94" s="249"/>
      <c r="CM94" s="249"/>
      <c r="CN94" s="249"/>
      <c r="CO94" s="249"/>
      <c r="CP94" s="249"/>
    </row>
    <row r="95" spans="3:94">
      <c r="C95" s="287"/>
      <c r="D95" s="347"/>
      <c r="E95" s="347"/>
      <c r="F95" s="347"/>
      <c r="G95" s="347"/>
      <c r="H95" s="347"/>
      <c r="K95" s="249"/>
      <c r="O95" s="249"/>
      <c r="P95" s="347"/>
      <c r="X95" s="249"/>
      <c r="Y95" s="249"/>
      <c r="Z95" s="249"/>
      <c r="AA95" s="249"/>
      <c r="AB95" s="249"/>
      <c r="AC95" s="249"/>
      <c r="AD95" s="249"/>
      <c r="AE95" s="249"/>
      <c r="AF95" s="249"/>
      <c r="AG95" s="353"/>
      <c r="AH95" s="353"/>
      <c r="AI95" s="353"/>
      <c r="AJ95" s="249"/>
      <c r="AK95" s="249"/>
      <c r="AL95" s="249"/>
      <c r="AQ95" s="249"/>
      <c r="AR95" s="249"/>
      <c r="AS95" s="249"/>
      <c r="AT95" s="249"/>
      <c r="AU95" s="249"/>
      <c r="AV95" s="249"/>
      <c r="AX95" s="249"/>
      <c r="AZ95" s="249"/>
      <c r="BB95" s="249"/>
      <c r="BC95" s="249"/>
      <c r="BD95" s="249"/>
      <c r="CB95" s="249"/>
      <c r="CC95" s="249"/>
      <c r="CD95" s="249"/>
      <c r="CE95" s="249"/>
      <c r="CM95" s="249"/>
      <c r="CN95" s="249"/>
      <c r="CO95" s="249"/>
      <c r="CP95" s="249"/>
    </row>
    <row r="96" spans="3:94">
      <c r="C96" s="287"/>
      <c r="D96" s="347"/>
      <c r="E96" s="347"/>
      <c r="F96" s="347"/>
      <c r="G96" s="347"/>
      <c r="H96" s="347"/>
      <c r="K96" s="249"/>
      <c r="O96" s="249"/>
      <c r="P96" s="347"/>
      <c r="X96" s="249"/>
      <c r="Y96" s="249"/>
      <c r="Z96" s="249"/>
      <c r="AA96" s="249"/>
      <c r="AB96" s="249"/>
      <c r="AC96" s="249"/>
      <c r="AD96" s="249"/>
      <c r="AE96" s="249"/>
      <c r="AF96" s="249"/>
      <c r="AG96" s="353"/>
      <c r="AH96" s="353"/>
      <c r="AI96" s="353"/>
      <c r="AJ96" s="249"/>
      <c r="AK96" s="249"/>
      <c r="AL96" s="249"/>
      <c r="AQ96" s="249"/>
      <c r="AR96" s="249"/>
      <c r="AS96" s="249"/>
      <c r="AT96" s="249"/>
      <c r="AU96" s="249"/>
      <c r="AV96" s="249"/>
      <c r="AX96" s="249"/>
      <c r="AZ96" s="249"/>
      <c r="BB96" s="249"/>
      <c r="BC96" s="249"/>
      <c r="BD96" s="249"/>
      <c r="CB96" s="249"/>
      <c r="CC96" s="249"/>
      <c r="CD96" s="249"/>
      <c r="CE96" s="249"/>
      <c r="CM96" s="249"/>
      <c r="CN96" s="249"/>
      <c r="CO96" s="249"/>
      <c r="CP96" s="249"/>
    </row>
    <row r="97" spans="3:94">
      <c r="C97" s="287"/>
      <c r="D97" s="347"/>
      <c r="E97" s="347"/>
      <c r="F97" s="347"/>
      <c r="G97" s="347"/>
      <c r="H97" s="347"/>
      <c r="K97" s="249"/>
      <c r="O97" s="249"/>
      <c r="P97" s="347"/>
      <c r="X97" s="249"/>
      <c r="Y97" s="249"/>
      <c r="Z97" s="249"/>
      <c r="AA97" s="249"/>
      <c r="AB97" s="249"/>
      <c r="AC97" s="249"/>
      <c r="AD97" s="249"/>
      <c r="AE97" s="249"/>
      <c r="AF97" s="249"/>
      <c r="AG97" s="353"/>
      <c r="AH97" s="353"/>
      <c r="AI97" s="353"/>
      <c r="AJ97" s="249"/>
      <c r="AK97" s="249"/>
      <c r="AL97" s="249"/>
      <c r="AQ97" s="249"/>
      <c r="AR97" s="249"/>
      <c r="AS97" s="249"/>
      <c r="AT97" s="249"/>
      <c r="AU97" s="249"/>
      <c r="AV97" s="249"/>
      <c r="AX97" s="249"/>
      <c r="AZ97" s="249"/>
      <c r="BB97" s="249"/>
      <c r="BC97" s="249"/>
      <c r="BD97" s="249"/>
      <c r="CB97" s="249"/>
      <c r="CC97" s="249"/>
      <c r="CD97" s="249"/>
      <c r="CE97" s="249"/>
      <c r="CM97" s="249"/>
      <c r="CN97" s="249"/>
      <c r="CO97" s="249"/>
      <c r="CP97" s="249"/>
    </row>
    <row r="98" spans="3:94">
      <c r="C98" s="287"/>
      <c r="D98" s="347"/>
      <c r="E98" s="347"/>
      <c r="F98" s="347"/>
      <c r="G98" s="347"/>
      <c r="H98" s="347"/>
      <c r="K98" s="249"/>
      <c r="O98" s="249"/>
      <c r="P98" s="347"/>
      <c r="X98" s="249"/>
      <c r="Y98" s="249"/>
      <c r="Z98" s="249"/>
      <c r="AA98" s="249"/>
      <c r="AB98" s="249"/>
      <c r="AC98" s="249"/>
      <c r="AD98" s="249"/>
      <c r="AE98" s="249"/>
      <c r="AF98" s="249"/>
      <c r="AG98" s="353"/>
      <c r="AH98" s="353"/>
      <c r="AI98" s="353"/>
      <c r="AJ98" s="249"/>
      <c r="AK98" s="249"/>
      <c r="AL98" s="249"/>
      <c r="AQ98" s="249"/>
      <c r="AR98" s="249"/>
      <c r="AS98" s="249"/>
      <c r="AT98" s="249"/>
      <c r="AU98" s="249"/>
      <c r="AV98" s="249"/>
      <c r="AX98" s="249"/>
      <c r="AZ98" s="249"/>
      <c r="BB98" s="249"/>
      <c r="BC98" s="249"/>
      <c r="BD98" s="249"/>
      <c r="CB98" s="249"/>
      <c r="CC98" s="249"/>
      <c r="CD98" s="249"/>
      <c r="CE98" s="249"/>
      <c r="CM98" s="249"/>
      <c r="CN98" s="249"/>
      <c r="CO98" s="249"/>
      <c r="CP98" s="249"/>
    </row>
    <row r="99" spans="3:94">
      <c r="C99" s="287"/>
      <c r="D99" s="347"/>
      <c r="E99" s="347"/>
      <c r="F99" s="347"/>
      <c r="G99" s="347"/>
      <c r="H99" s="347"/>
      <c r="K99" s="249"/>
      <c r="O99" s="249"/>
      <c r="P99" s="347"/>
      <c r="X99" s="249"/>
      <c r="Y99" s="249"/>
      <c r="Z99" s="249"/>
      <c r="AA99" s="249"/>
      <c r="AB99" s="249"/>
      <c r="AC99" s="249"/>
      <c r="AD99" s="249"/>
      <c r="AE99" s="249"/>
      <c r="AF99" s="249"/>
      <c r="AG99" s="353"/>
      <c r="AH99" s="353"/>
      <c r="AI99" s="353"/>
      <c r="AJ99" s="249"/>
      <c r="AK99" s="249"/>
      <c r="AL99" s="249"/>
      <c r="AQ99" s="249"/>
      <c r="AR99" s="249"/>
      <c r="AS99" s="249"/>
      <c r="AT99" s="249"/>
      <c r="AU99" s="249"/>
      <c r="AV99" s="249"/>
      <c r="AX99" s="249"/>
      <c r="AZ99" s="249"/>
      <c r="BB99" s="249"/>
      <c r="BC99" s="249"/>
      <c r="BD99" s="249"/>
      <c r="CB99" s="249"/>
      <c r="CC99" s="249"/>
      <c r="CD99" s="249"/>
      <c r="CE99" s="249"/>
      <c r="CM99" s="249"/>
      <c r="CN99" s="249"/>
      <c r="CO99" s="249"/>
      <c r="CP99" s="249"/>
    </row>
    <row r="100" spans="3:94">
      <c r="C100" s="287"/>
      <c r="D100" s="347"/>
      <c r="E100" s="347"/>
      <c r="F100" s="347"/>
      <c r="G100" s="347"/>
      <c r="H100" s="347"/>
      <c r="K100" s="249"/>
      <c r="O100" s="249"/>
      <c r="P100" s="347"/>
      <c r="X100" s="249"/>
      <c r="Y100" s="249"/>
      <c r="Z100" s="249"/>
      <c r="AA100" s="249"/>
      <c r="AB100" s="249"/>
      <c r="AC100" s="249"/>
      <c r="AD100" s="249"/>
      <c r="AE100" s="249"/>
      <c r="AF100" s="249"/>
      <c r="AG100" s="353"/>
      <c r="AH100" s="353"/>
      <c r="AI100" s="353"/>
      <c r="AJ100" s="249"/>
      <c r="AK100" s="249"/>
      <c r="AL100" s="249"/>
      <c r="AQ100" s="249"/>
      <c r="AR100" s="249"/>
      <c r="AS100" s="249"/>
      <c r="AT100" s="249"/>
      <c r="AU100" s="249"/>
      <c r="AV100" s="249"/>
      <c r="AX100" s="249"/>
      <c r="AZ100" s="249"/>
      <c r="BB100" s="249"/>
      <c r="BC100" s="249"/>
      <c r="BD100" s="249"/>
      <c r="CB100" s="249"/>
      <c r="CC100" s="249"/>
      <c r="CD100" s="249"/>
      <c r="CE100" s="249"/>
      <c r="CM100" s="249"/>
      <c r="CN100" s="249"/>
      <c r="CO100" s="249"/>
      <c r="CP100" s="249"/>
    </row>
    <row r="101" spans="3:94">
      <c r="C101" s="287"/>
      <c r="D101" s="347"/>
      <c r="E101" s="347"/>
      <c r="F101" s="347"/>
      <c r="G101" s="347"/>
      <c r="H101" s="347"/>
      <c r="K101" s="249"/>
      <c r="O101" s="249"/>
      <c r="P101" s="347"/>
      <c r="X101" s="249"/>
      <c r="Y101" s="249"/>
      <c r="Z101" s="249"/>
      <c r="AA101" s="249"/>
      <c r="AB101" s="249"/>
      <c r="AC101" s="249"/>
      <c r="AD101" s="249"/>
      <c r="AE101" s="249"/>
      <c r="AF101" s="249"/>
      <c r="AG101" s="353"/>
      <c r="AH101" s="353"/>
      <c r="AI101" s="353"/>
      <c r="AJ101" s="249"/>
      <c r="AK101" s="249"/>
      <c r="AL101" s="249"/>
      <c r="AQ101" s="249"/>
      <c r="AR101" s="249"/>
      <c r="AS101" s="249"/>
      <c r="AT101" s="249"/>
      <c r="AU101" s="249"/>
      <c r="AV101" s="249"/>
      <c r="AX101" s="249"/>
      <c r="AZ101" s="249"/>
      <c r="BB101" s="249"/>
      <c r="BC101" s="249"/>
      <c r="BD101" s="249"/>
      <c r="CB101" s="249"/>
      <c r="CC101" s="249"/>
      <c r="CD101" s="249"/>
      <c r="CE101" s="249"/>
      <c r="CM101" s="249"/>
      <c r="CN101" s="249"/>
      <c r="CO101" s="249"/>
      <c r="CP101" s="249"/>
    </row>
    <row r="102" spans="3:94">
      <c r="C102" s="287"/>
      <c r="D102" s="347"/>
      <c r="E102" s="347"/>
      <c r="F102" s="347"/>
      <c r="G102" s="347"/>
      <c r="H102" s="347"/>
      <c r="K102" s="249"/>
      <c r="O102" s="249"/>
      <c r="P102" s="347"/>
      <c r="X102" s="249"/>
      <c r="Y102" s="249"/>
      <c r="Z102" s="249"/>
      <c r="AA102" s="249"/>
      <c r="AB102" s="249"/>
      <c r="AC102" s="249"/>
      <c r="AD102" s="249"/>
      <c r="AE102" s="249"/>
      <c r="AF102" s="249"/>
      <c r="AG102" s="353"/>
      <c r="AH102" s="353"/>
      <c r="AI102" s="353"/>
      <c r="AJ102" s="249"/>
      <c r="AK102" s="249"/>
      <c r="AL102" s="249"/>
      <c r="AQ102" s="249"/>
      <c r="AR102" s="249"/>
      <c r="AS102" s="249"/>
      <c r="AT102" s="249"/>
      <c r="AU102" s="249"/>
      <c r="AV102" s="249"/>
      <c r="AX102" s="249"/>
      <c r="AZ102" s="249"/>
      <c r="BB102" s="249"/>
      <c r="BC102" s="249"/>
      <c r="BD102" s="249"/>
      <c r="CB102" s="249"/>
      <c r="CC102" s="249"/>
      <c r="CD102" s="249"/>
      <c r="CE102" s="249"/>
      <c r="CM102" s="249"/>
      <c r="CN102" s="249"/>
      <c r="CO102" s="249"/>
      <c r="CP102" s="249"/>
    </row>
    <row r="103" spans="3:94">
      <c r="C103" s="287"/>
      <c r="D103" s="347"/>
      <c r="E103" s="347"/>
      <c r="F103" s="347"/>
      <c r="G103" s="347"/>
      <c r="H103" s="347"/>
      <c r="K103" s="249"/>
      <c r="O103" s="249"/>
      <c r="P103" s="347"/>
      <c r="X103" s="249"/>
      <c r="Y103" s="249"/>
      <c r="Z103" s="249"/>
      <c r="AA103" s="249"/>
      <c r="AB103" s="249"/>
      <c r="AC103" s="249"/>
      <c r="AD103" s="249"/>
      <c r="AE103" s="249"/>
      <c r="AF103" s="249"/>
      <c r="AG103" s="353"/>
      <c r="AH103" s="353"/>
      <c r="AI103" s="353"/>
      <c r="AJ103" s="249"/>
      <c r="AK103" s="249"/>
      <c r="AL103" s="249"/>
      <c r="AQ103" s="249"/>
      <c r="AR103" s="249"/>
      <c r="AS103" s="249"/>
      <c r="AT103" s="249"/>
      <c r="AU103" s="249"/>
      <c r="AV103" s="249"/>
      <c r="AX103" s="249"/>
      <c r="AZ103" s="249"/>
      <c r="BB103" s="249"/>
      <c r="BC103" s="249"/>
      <c r="BD103" s="249"/>
      <c r="CB103" s="249"/>
      <c r="CC103" s="249"/>
      <c r="CD103" s="249"/>
      <c r="CE103" s="249"/>
      <c r="CM103" s="249"/>
      <c r="CN103" s="249"/>
      <c r="CO103" s="249"/>
      <c r="CP103" s="249"/>
    </row>
    <row r="104" spans="3:94">
      <c r="C104" s="287"/>
      <c r="D104" s="347"/>
      <c r="E104" s="347"/>
      <c r="F104" s="347"/>
      <c r="G104" s="347"/>
      <c r="H104" s="347"/>
      <c r="K104" s="249"/>
      <c r="O104" s="249"/>
      <c r="P104" s="347"/>
      <c r="X104" s="249"/>
      <c r="Y104" s="249"/>
      <c r="Z104" s="249"/>
      <c r="AA104" s="249"/>
      <c r="AB104" s="249"/>
      <c r="AC104" s="249"/>
      <c r="AD104" s="249"/>
      <c r="AE104" s="249"/>
      <c r="AF104" s="249"/>
      <c r="AG104" s="353"/>
      <c r="AH104" s="353"/>
      <c r="AI104" s="353"/>
      <c r="AJ104" s="249"/>
      <c r="AK104" s="249"/>
      <c r="AL104" s="249"/>
      <c r="AQ104" s="249"/>
      <c r="AR104" s="249"/>
      <c r="AS104" s="249"/>
      <c r="AT104" s="249"/>
      <c r="AU104" s="249"/>
      <c r="AV104" s="249"/>
      <c r="AX104" s="249"/>
      <c r="AZ104" s="249"/>
      <c r="BB104" s="249"/>
      <c r="BC104" s="249"/>
      <c r="BD104" s="249"/>
      <c r="CB104" s="249"/>
      <c r="CC104" s="249"/>
      <c r="CD104" s="249"/>
      <c r="CE104" s="249"/>
      <c r="CM104" s="249"/>
      <c r="CN104" s="249"/>
      <c r="CO104" s="249"/>
      <c r="CP104" s="249"/>
    </row>
    <row r="105" spans="3:94">
      <c r="C105" s="287"/>
      <c r="D105" s="347"/>
      <c r="E105" s="347"/>
      <c r="F105" s="347"/>
      <c r="G105" s="347"/>
      <c r="H105" s="347"/>
      <c r="K105" s="249"/>
      <c r="O105" s="249"/>
      <c r="P105" s="347"/>
      <c r="X105" s="249"/>
      <c r="Y105" s="249"/>
      <c r="Z105" s="249"/>
      <c r="AA105" s="249"/>
      <c r="AB105" s="249"/>
      <c r="AC105" s="249"/>
      <c r="AD105" s="249"/>
      <c r="AE105" s="249"/>
      <c r="AF105" s="249"/>
      <c r="AG105" s="353"/>
      <c r="AH105" s="353"/>
      <c r="AI105" s="353"/>
      <c r="AJ105" s="249"/>
      <c r="AK105" s="249"/>
      <c r="AL105" s="249"/>
      <c r="AQ105" s="249"/>
      <c r="AR105" s="249"/>
      <c r="AS105" s="249"/>
      <c r="AT105" s="249"/>
      <c r="AU105" s="249"/>
      <c r="AV105" s="249"/>
      <c r="AX105" s="249"/>
      <c r="AZ105" s="249"/>
      <c r="BB105" s="249"/>
      <c r="BC105" s="249"/>
      <c r="BD105" s="249"/>
      <c r="CB105" s="249"/>
      <c r="CC105" s="249"/>
      <c r="CD105" s="249"/>
      <c r="CE105" s="249"/>
      <c r="CM105" s="249"/>
      <c r="CN105" s="249"/>
      <c r="CO105" s="249"/>
      <c r="CP105" s="249"/>
    </row>
    <row r="106" spans="3:94">
      <c r="C106" s="287"/>
      <c r="D106" s="347"/>
      <c r="E106" s="347"/>
      <c r="F106" s="347"/>
      <c r="G106" s="347"/>
      <c r="H106" s="347"/>
      <c r="K106" s="249"/>
      <c r="O106" s="249"/>
      <c r="P106" s="347"/>
      <c r="X106" s="249"/>
      <c r="Y106" s="249"/>
      <c r="Z106" s="249"/>
      <c r="AA106" s="249"/>
      <c r="AB106" s="249"/>
      <c r="AC106" s="249"/>
      <c r="AD106" s="249"/>
      <c r="AE106" s="249"/>
      <c r="AF106" s="249"/>
      <c r="AG106" s="353"/>
      <c r="AH106" s="353"/>
      <c r="AI106" s="353"/>
      <c r="AJ106" s="249"/>
      <c r="AK106" s="249"/>
      <c r="AL106" s="249"/>
      <c r="AQ106" s="249"/>
      <c r="AR106" s="249"/>
      <c r="AS106" s="249"/>
      <c r="AT106" s="249"/>
      <c r="AU106" s="249"/>
      <c r="AV106" s="249"/>
      <c r="AX106" s="249"/>
      <c r="AZ106" s="249"/>
      <c r="BB106" s="249"/>
      <c r="BC106" s="249"/>
      <c r="BD106" s="249"/>
      <c r="CB106" s="249"/>
      <c r="CC106" s="249"/>
      <c r="CD106" s="249"/>
      <c r="CE106" s="249"/>
      <c r="CM106" s="249"/>
      <c r="CN106" s="249"/>
      <c r="CO106" s="249"/>
      <c r="CP106" s="249"/>
    </row>
    <row r="107" spans="3:94">
      <c r="C107" s="287"/>
      <c r="D107" s="347"/>
      <c r="E107" s="347"/>
      <c r="F107" s="347"/>
      <c r="G107" s="347"/>
      <c r="H107" s="347"/>
      <c r="K107" s="249"/>
      <c r="O107" s="249"/>
      <c r="P107" s="347"/>
      <c r="X107" s="249"/>
      <c r="Y107" s="249"/>
      <c r="Z107" s="249"/>
      <c r="AA107" s="249"/>
      <c r="AB107" s="249"/>
      <c r="AC107" s="249"/>
      <c r="AD107" s="249"/>
      <c r="AE107" s="249"/>
      <c r="AF107" s="249"/>
      <c r="AG107" s="353"/>
      <c r="AH107" s="353"/>
      <c r="AI107" s="353"/>
      <c r="AJ107" s="249"/>
      <c r="AK107" s="249"/>
      <c r="AL107" s="249"/>
      <c r="AQ107" s="249"/>
      <c r="AR107" s="249"/>
      <c r="AS107" s="249"/>
      <c r="AT107" s="249"/>
      <c r="AU107" s="249"/>
      <c r="AV107" s="249"/>
      <c r="AX107" s="249"/>
      <c r="AZ107" s="249"/>
      <c r="BB107" s="249"/>
      <c r="BC107" s="249"/>
      <c r="BD107" s="249"/>
      <c r="CB107" s="249"/>
      <c r="CC107" s="249"/>
      <c r="CD107" s="249"/>
      <c r="CE107" s="249"/>
      <c r="CM107" s="249"/>
      <c r="CN107" s="249"/>
      <c r="CO107" s="249"/>
      <c r="CP107" s="249"/>
    </row>
    <row r="108" spans="3:94">
      <c r="C108" s="287"/>
      <c r="D108" s="347"/>
      <c r="E108" s="347"/>
      <c r="F108" s="347"/>
      <c r="G108" s="347"/>
      <c r="H108" s="347"/>
      <c r="K108" s="249"/>
      <c r="O108" s="249"/>
      <c r="P108" s="347"/>
      <c r="X108" s="249"/>
      <c r="Y108" s="249"/>
      <c r="Z108" s="249"/>
      <c r="AA108" s="249"/>
      <c r="AB108" s="249"/>
      <c r="AC108" s="249"/>
      <c r="AD108" s="249"/>
      <c r="AE108" s="249"/>
      <c r="AF108" s="249"/>
      <c r="AG108" s="353"/>
      <c r="AH108" s="353"/>
      <c r="AI108" s="353"/>
      <c r="AJ108" s="249"/>
      <c r="AK108" s="249"/>
      <c r="AL108" s="249"/>
      <c r="AQ108" s="249"/>
      <c r="AR108" s="249"/>
      <c r="AS108" s="249"/>
      <c r="AT108" s="249"/>
      <c r="AU108" s="249"/>
      <c r="AV108" s="249"/>
      <c r="AX108" s="249"/>
      <c r="AZ108" s="249"/>
      <c r="BB108" s="249"/>
      <c r="BC108" s="249"/>
      <c r="BD108" s="249"/>
      <c r="CB108" s="249"/>
      <c r="CC108" s="249"/>
      <c r="CD108" s="249"/>
      <c r="CE108" s="249"/>
      <c r="CM108" s="249"/>
      <c r="CN108" s="249"/>
      <c r="CO108" s="249"/>
      <c r="CP108" s="249"/>
    </row>
    <row r="109" spans="3:94">
      <c r="C109" s="287"/>
      <c r="D109" s="347"/>
      <c r="E109" s="347"/>
      <c r="F109" s="347"/>
      <c r="G109" s="347"/>
      <c r="H109" s="347"/>
      <c r="K109" s="249"/>
      <c r="O109" s="249"/>
      <c r="P109" s="347"/>
      <c r="X109" s="249"/>
      <c r="Y109" s="249"/>
      <c r="Z109" s="249"/>
      <c r="AA109" s="249"/>
      <c r="AB109" s="249"/>
      <c r="AC109" s="249"/>
      <c r="AD109" s="249"/>
      <c r="AE109" s="249"/>
      <c r="AF109" s="249"/>
      <c r="AG109" s="353"/>
      <c r="AH109" s="353"/>
      <c r="AI109" s="353"/>
      <c r="AJ109" s="249"/>
      <c r="AK109" s="249"/>
      <c r="AL109" s="249"/>
      <c r="AQ109" s="249"/>
      <c r="AR109" s="249"/>
      <c r="AS109" s="249"/>
      <c r="AT109" s="249"/>
      <c r="AU109" s="249"/>
      <c r="AV109" s="249"/>
      <c r="AX109" s="249"/>
      <c r="AZ109" s="249"/>
      <c r="BB109" s="249"/>
      <c r="BC109" s="249"/>
      <c r="BD109" s="249"/>
      <c r="CB109" s="249"/>
      <c r="CC109" s="249"/>
      <c r="CD109" s="249"/>
      <c r="CE109" s="249"/>
      <c r="CM109" s="249"/>
      <c r="CN109" s="249"/>
      <c r="CO109" s="249"/>
      <c r="CP109" s="249"/>
    </row>
    <row r="110" spans="3:94">
      <c r="C110" s="287"/>
      <c r="D110" s="347"/>
      <c r="E110" s="347"/>
      <c r="F110" s="347"/>
      <c r="G110" s="347"/>
      <c r="H110" s="347"/>
      <c r="K110" s="249"/>
      <c r="O110" s="249"/>
      <c r="P110" s="347"/>
      <c r="X110" s="249"/>
      <c r="Y110" s="249"/>
      <c r="Z110" s="249"/>
      <c r="AA110" s="249"/>
      <c r="AB110" s="249"/>
      <c r="AC110" s="249"/>
      <c r="AD110" s="249"/>
      <c r="AE110" s="249"/>
      <c r="AF110" s="249"/>
      <c r="AG110" s="353"/>
      <c r="AH110" s="353"/>
      <c r="AI110" s="353"/>
      <c r="AJ110" s="249"/>
      <c r="AK110" s="249"/>
      <c r="AL110" s="249"/>
      <c r="AQ110" s="249"/>
      <c r="AR110" s="249"/>
      <c r="AS110" s="249"/>
      <c r="AT110" s="249"/>
      <c r="AU110" s="249"/>
      <c r="AV110" s="249"/>
      <c r="AX110" s="249"/>
      <c r="AZ110" s="249"/>
      <c r="BB110" s="249"/>
      <c r="BC110" s="249"/>
      <c r="BD110" s="249"/>
      <c r="CB110" s="249"/>
      <c r="CC110" s="249"/>
      <c r="CD110" s="249"/>
      <c r="CE110" s="249"/>
      <c r="CM110" s="249"/>
      <c r="CN110" s="249"/>
      <c r="CO110" s="249"/>
      <c r="CP110" s="249"/>
    </row>
    <row r="111" spans="3:94">
      <c r="C111" s="287"/>
      <c r="D111" s="347"/>
      <c r="E111" s="347"/>
      <c r="F111" s="347"/>
      <c r="G111" s="347"/>
      <c r="H111" s="347"/>
      <c r="K111" s="249"/>
      <c r="O111" s="249"/>
      <c r="P111" s="347"/>
      <c r="X111" s="249"/>
      <c r="Y111" s="249"/>
      <c r="Z111" s="249"/>
      <c r="AA111" s="249"/>
      <c r="AB111" s="249"/>
      <c r="AC111" s="249"/>
      <c r="AD111" s="249"/>
      <c r="AE111" s="249"/>
      <c r="AF111" s="249"/>
      <c r="AG111" s="353"/>
      <c r="AH111" s="353"/>
      <c r="AI111" s="353"/>
      <c r="AJ111" s="249"/>
      <c r="AK111" s="249"/>
      <c r="AL111" s="249"/>
      <c r="AQ111" s="249"/>
      <c r="AR111" s="249"/>
      <c r="AS111" s="249"/>
      <c r="AT111" s="249"/>
      <c r="AU111" s="249"/>
      <c r="AV111" s="249"/>
      <c r="AX111" s="249"/>
      <c r="AZ111" s="249"/>
      <c r="BB111" s="249"/>
      <c r="BC111" s="249"/>
      <c r="BD111" s="249"/>
      <c r="CB111" s="249"/>
      <c r="CC111" s="249"/>
      <c r="CD111" s="249"/>
      <c r="CE111" s="249"/>
      <c r="CM111" s="249"/>
      <c r="CN111" s="249"/>
      <c r="CO111" s="249"/>
      <c r="CP111" s="249"/>
    </row>
    <row r="112" spans="3:94">
      <c r="C112" s="287"/>
      <c r="D112" s="347"/>
      <c r="E112" s="347"/>
      <c r="F112" s="347"/>
      <c r="G112" s="347"/>
      <c r="H112" s="347"/>
      <c r="K112" s="249"/>
      <c r="O112" s="249"/>
      <c r="P112" s="347"/>
      <c r="X112" s="249"/>
      <c r="Y112" s="249"/>
      <c r="Z112" s="249"/>
      <c r="AA112" s="249"/>
      <c r="AB112" s="249"/>
      <c r="AC112" s="249"/>
      <c r="AD112" s="249"/>
      <c r="AE112" s="249"/>
      <c r="AF112" s="249"/>
      <c r="AG112" s="353"/>
      <c r="AH112" s="353"/>
      <c r="AI112" s="353"/>
      <c r="AJ112" s="249"/>
      <c r="AK112" s="249"/>
      <c r="AL112" s="249"/>
      <c r="AQ112" s="249"/>
      <c r="AR112" s="249"/>
      <c r="AS112" s="249"/>
      <c r="AT112" s="249"/>
      <c r="AU112" s="249"/>
      <c r="AV112" s="249"/>
      <c r="AX112" s="249"/>
      <c r="AZ112" s="249"/>
      <c r="BB112" s="249"/>
      <c r="BC112" s="249"/>
      <c r="BD112" s="249"/>
      <c r="CB112" s="249"/>
      <c r="CC112" s="249"/>
      <c r="CD112" s="249"/>
      <c r="CE112" s="249"/>
      <c r="CM112" s="249"/>
      <c r="CN112" s="249"/>
      <c r="CO112" s="249"/>
      <c r="CP112" s="249"/>
    </row>
    <row r="113" spans="3:94">
      <c r="C113" s="287"/>
      <c r="D113" s="347"/>
      <c r="E113" s="347"/>
      <c r="F113" s="347"/>
      <c r="G113" s="347"/>
      <c r="H113" s="347"/>
      <c r="K113" s="249"/>
      <c r="O113" s="249"/>
      <c r="P113" s="347"/>
      <c r="X113" s="249"/>
      <c r="Y113" s="249"/>
      <c r="Z113" s="249"/>
      <c r="AA113" s="249"/>
      <c r="AB113" s="249"/>
      <c r="AC113" s="249"/>
      <c r="AD113" s="249"/>
      <c r="AE113" s="249"/>
      <c r="AF113" s="249"/>
      <c r="AG113" s="353"/>
      <c r="AH113" s="353"/>
      <c r="AI113" s="353"/>
      <c r="AJ113" s="249"/>
      <c r="AK113" s="249"/>
      <c r="AL113" s="249"/>
      <c r="AQ113" s="249"/>
      <c r="AR113" s="249"/>
      <c r="AS113" s="249"/>
      <c r="AT113" s="249"/>
      <c r="AU113" s="249"/>
      <c r="AV113" s="249"/>
      <c r="AX113" s="249"/>
      <c r="AZ113" s="249"/>
      <c r="BB113" s="249"/>
      <c r="BC113" s="249"/>
      <c r="BD113" s="249"/>
      <c r="CB113" s="249"/>
      <c r="CC113" s="249"/>
      <c r="CD113" s="249"/>
      <c r="CE113" s="249"/>
      <c r="CM113" s="249"/>
      <c r="CN113" s="249"/>
      <c r="CO113" s="249"/>
      <c r="CP113" s="249"/>
    </row>
    <row r="114" spans="3:94">
      <c r="C114" s="287"/>
      <c r="D114" s="347"/>
      <c r="E114" s="347"/>
      <c r="F114" s="347"/>
      <c r="G114" s="347"/>
      <c r="H114" s="347"/>
      <c r="K114" s="249"/>
      <c r="O114" s="249"/>
      <c r="P114" s="347"/>
      <c r="X114" s="249"/>
      <c r="Y114" s="249"/>
      <c r="Z114" s="249"/>
      <c r="AA114" s="249"/>
      <c r="AB114" s="249"/>
      <c r="AC114" s="249"/>
      <c r="AD114" s="249"/>
      <c r="AE114" s="249"/>
      <c r="AF114" s="249"/>
      <c r="AG114" s="353"/>
      <c r="AH114" s="353"/>
      <c r="AI114" s="353"/>
      <c r="AJ114" s="249"/>
      <c r="AK114" s="249"/>
      <c r="AL114" s="249"/>
      <c r="AQ114" s="249"/>
      <c r="AR114" s="249"/>
      <c r="AS114" s="249"/>
      <c r="AT114" s="249"/>
      <c r="AU114" s="249"/>
      <c r="AV114" s="249"/>
      <c r="AX114" s="249"/>
      <c r="AZ114" s="249"/>
      <c r="BB114" s="249"/>
      <c r="BC114" s="249"/>
      <c r="BD114" s="249"/>
      <c r="CB114" s="249"/>
      <c r="CC114" s="249"/>
      <c r="CD114" s="249"/>
      <c r="CE114" s="249"/>
      <c r="CM114" s="249"/>
      <c r="CN114" s="249"/>
      <c r="CO114" s="249"/>
      <c r="CP114" s="249"/>
    </row>
    <row r="115" spans="3:94">
      <c r="C115" s="287"/>
      <c r="D115" s="347"/>
      <c r="E115" s="347"/>
      <c r="F115" s="347"/>
      <c r="G115" s="347"/>
      <c r="H115" s="347"/>
      <c r="K115" s="249"/>
      <c r="O115" s="249"/>
      <c r="P115" s="347"/>
      <c r="X115" s="249"/>
      <c r="Y115" s="249"/>
      <c r="Z115" s="249"/>
      <c r="AA115" s="249"/>
      <c r="AB115" s="249"/>
      <c r="AC115" s="249"/>
      <c r="AD115" s="249"/>
      <c r="AE115" s="249"/>
      <c r="AF115" s="249"/>
      <c r="AG115" s="353"/>
      <c r="AH115" s="353"/>
      <c r="AI115" s="353"/>
      <c r="AJ115" s="249"/>
      <c r="AK115" s="249"/>
      <c r="AL115" s="249"/>
      <c r="AQ115" s="249"/>
      <c r="AR115" s="249"/>
      <c r="AS115" s="249"/>
      <c r="AT115" s="249"/>
      <c r="AU115" s="249"/>
      <c r="AV115" s="249"/>
      <c r="AX115" s="249"/>
      <c r="AZ115" s="249"/>
      <c r="BB115" s="249"/>
      <c r="BC115" s="249"/>
      <c r="BD115" s="249"/>
      <c r="CB115" s="249"/>
      <c r="CC115" s="249"/>
      <c r="CD115" s="249"/>
      <c r="CE115" s="249"/>
      <c r="CM115" s="249"/>
      <c r="CN115" s="249"/>
      <c r="CO115" s="249"/>
      <c r="CP115" s="249"/>
    </row>
    <row r="116" spans="3:94">
      <c r="C116" s="287"/>
      <c r="D116" s="347"/>
      <c r="E116" s="347"/>
      <c r="F116" s="347"/>
      <c r="G116" s="347"/>
      <c r="H116" s="347"/>
      <c r="K116" s="249"/>
      <c r="O116" s="249"/>
      <c r="P116" s="347"/>
      <c r="X116" s="249"/>
      <c r="Y116" s="249"/>
      <c r="Z116" s="249"/>
      <c r="AA116" s="249"/>
      <c r="AB116" s="249"/>
      <c r="AC116" s="249"/>
      <c r="AD116" s="249"/>
      <c r="AE116" s="249"/>
      <c r="AF116" s="249"/>
      <c r="AG116" s="353"/>
      <c r="AH116" s="353"/>
      <c r="AI116" s="353"/>
      <c r="AJ116" s="249"/>
      <c r="AK116" s="249"/>
      <c r="AL116" s="249"/>
      <c r="AQ116" s="249"/>
      <c r="AR116" s="249"/>
      <c r="AS116" s="249"/>
      <c r="AT116" s="249"/>
      <c r="AU116" s="249"/>
      <c r="AV116" s="249"/>
      <c r="AX116" s="249"/>
      <c r="AZ116" s="249"/>
      <c r="BB116" s="249"/>
      <c r="BC116" s="249"/>
      <c r="BD116" s="249"/>
      <c r="CB116" s="249"/>
      <c r="CC116" s="249"/>
      <c r="CD116" s="249"/>
      <c r="CE116" s="249"/>
      <c r="CM116" s="249"/>
      <c r="CN116" s="249"/>
      <c r="CO116" s="249"/>
      <c r="CP116" s="249"/>
    </row>
    <row r="117" spans="3:94">
      <c r="C117" s="287"/>
      <c r="D117" s="347"/>
      <c r="E117" s="347"/>
      <c r="F117" s="347"/>
      <c r="G117" s="347"/>
      <c r="H117" s="347"/>
      <c r="K117" s="249"/>
      <c r="O117" s="249"/>
      <c r="P117" s="347"/>
      <c r="X117" s="249"/>
      <c r="Y117" s="249"/>
      <c r="Z117" s="249"/>
      <c r="AA117" s="249"/>
      <c r="AB117" s="249"/>
      <c r="AC117" s="249"/>
      <c r="AD117" s="249"/>
      <c r="AE117" s="249"/>
      <c r="AF117" s="249"/>
      <c r="AG117" s="353"/>
      <c r="AH117" s="353"/>
      <c r="AI117" s="353"/>
      <c r="AJ117" s="249"/>
      <c r="AK117" s="249"/>
      <c r="AL117" s="249"/>
      <c r="AQ117" s="249"/>
      <c r="AR117" s="249"/>
      <c r="AS117" s="249"/>
      <c r="AT117" s="249"/>
      <c r="AU117" s="249"/>
      <c r="AV117" s="249"/>
      <c r="AX117" s="249"/>
      <c r="AZ117" s="249"/>
      <c r="BB117" s="249"/>
      <c r="BC117" s="249"/>
      <c r="BD117" s="249"/>
      <c r="CB117" s="249"/>
      <c r="CC117" s="249"/>
      <c r="CD117" s="249"/>
      <c r="CE117" s="249"/>
      <c r="CM117" s="249"/>
      <c r="CN117" s="249"/>
      <c r="CO117" s="249"/>
      <c r="CP117" s="249"/>
    </row>
    <row r="118" spans="3:94">
      <c r="C118" s="287"/>
      <c r="D118" s="347"/>
      <c r="E118" s="347"/>
      <c r="F118" s="347"/>
      <c r="G118" s="347"/>
      <c r="H118" s="347"/>
      <c r="K118" s="249"/>
      <c r="O118" s="249"/>
      <c r="P118" s="347"/>
      <c r="X118" s="249"/>
      <c r="Y118" s="249"/>
      <c r="Z118" s="249"/>
      <c r="AA118" s="249"/>
      <c r="AB118" s="249"/>
      <c r="AC118" s="249"/>
      <c r="AD118" s="249"/>
      <c r="AE118" s="249"/>
      <c r="AF118" s="249"/>
      <c r="AG118" s="353"/>
      <c r="AH118" s="353"/>
      <c r="AI118" s="353"/>
      <c r="AJ118" s="249"/>
      <c r="AK118" s="249"/>
      <c r="AL118" s="249"/>
      <c r="AQ118" s="249"/>
      <c r="AR118" s="249"/>
      <c r="AS118" s="249"/>
      <c r="AT118" s="249"/>
      <c r="AU118" s="249"/>
      <c r="AV118" s="249"/>
      <c r="AX118" s="249"/>
      <c r="AZ118" s="249"/>
      <c r="BB118" s="249"/>
      <c r="BC118" s="249"/>
      <c r="BD118" s="249"/>
      <c r="CB118" s="249"/>
      <c r="CC118" s="249"/>
      <c r="CD118" s="249"/>
      <c r="CE118" s="249"/>
      <c r="CM118" s="249"/>
      <c r="CN118" s="249"/>
      <c r="CO118" s="249"/>
      <c r="CP118" s="249"/>
    </row>
    <row r="119" spans="3:94">
      <c r="C119" s="287"/>
      <c r="D119" s="347"/>
      <c r="E119" s="347"/>
      <c r="F119" s="347"/>
      <c r="G119" s="347"/>
      <c r="H119" s="347"/>
      <c r="K119" s="249"/>
      <c r="O119" s="249"/>
      <c r="P119" s="347"/>
      <c r="X119" s="249"/>
      <c r="Y119" s="249"/>
      <c r="Z119" s="249"/>
      <c r="AA119" s="249"/>
      <c r="AB119" s="249"/>
      <c r="AC119" s="249"/>
      <c r="AD119" s="249"/>
      <c r="AE119" s="249"/>
      <c r="AF119" s="249"/>
      <c r="AG119" s="353"/>
      <c r="AH119" s="353"/>
      <c r="AI119" s="353"/>
      <c r="AJ119" s="249"/>
      <c r="AK119" s="249"/>
      <c r="AL119" s="249"/>
      <c r="AQ119" s="249"/>
      <c r="AR119" s="249"/>
      <c r="AS119" s="249"/>
      <c r="AT119" s="249"/>
      <c r="AU119" s="249"/>
      <c r="AV119" s="249"/>
      <c r="AX119" s="249"/>
      <c r="AZ119" s="249"/>
      <c r="BB119" s="249"/>
      <c r="BC119" s="249"/>
      <c r="BD119" s="249"/>
      <c r="CB119" s="249"/>
      <c r="CC119" s="249"/>
      <c r="CD119" s="249"/>
      <c r="CE119" s="249"/>
      <c r="CM119" s="249"/>
      <c r="CN119" s="249"/>
      <c r="CO119" s="249"/>
      <c r="CP119" s="249"/>
    </row>
    <row r="120" spans="3:94">
      <c r="C120" s="287"/>
      <c r="D120" s="347"/>
      <c r="E120" s="347"/>
      <c r="F120" s="347"/>
      <c r="G120" s="347"/>
      <c r="H120" s="347"/>
      <c r="K120" s="249"/>
      <c r="O120" s="249"/>
      <c r="P120" s="347"/>
      <c r="X120" s="249"/>
      <c r="Y120" s="249"/>
      <c r="Z120" s="249"/>
      <c r="AA120" s="249"/>
      <c r="AB120" s="249"/>
      <c r="AC120" s="249"/>
      <c r="AD120" s="249"/>
      <c r="AE120" s="249"/>
      <c r="AF120" s="249"/>
      <c r="AG120" s="353"/>
      <c r="AH120" s="353"/>
      <c r="AI120" s="353"/>
      <c r="AJ120" s="249"/>
      <c r="AK120" s="249"/>
      <c r="AL120" s="249"/>
      <c r="AQ120" s="249"/>
      <c r="AR120" s="249"/>
      <c r="AS120" s="249"/>
      <c r="AT120" s="249"/>
      <c r="AU120" s="249"/>
      <c r="AV120" s="249"/>
      <c r="AX120" s="249"/>
      <c r="AZ120" s="249"/>
      <c r="BB120" s="249"/>
      <c r="BC120" s="249"/>
      <c r="BD120" s="249"/>
      <c r="CB120" s="249"/>
      <c r="CC120" s="249"/>
      <c r="CD120" s="249"/>
      <c r="CE120" s="249"/>
      <c r="CM120" s="249"/>
      <c r="CN120" s="249"/>
      <c r="CO120" s="249"/>
      <c r="CP120" s="249"/>
    </row>
    <row r="121" spans="3:94">
      <c r="C121" s="287"/>
      <c r="D121" s="347"/>
      <c r="E121" s="347"/>
      <c r="F121" s="347"/>
      <c r="G121" s="347"/>
      <c r="H121" s="347"/>
      <c r="K121" s="249"/>
      <c r="O121" s="249"/>
      <c r="P121" s="347"/>
      <c r="X121" s="249"/>
      <c r="Y121" s="249"/>
      <c r="Z121" s="249"/>
      <c r="AA121" s="249"/>
      <c r="AB121" s="249"/>
      <c r="AC121" s="249"/>
      <c r="AD121" s="249"/>
      <c r="AE121" s="249"/>
      <c r="AF121" s="249"/>
      <c r="AG121" s="353"/>
      <c r="AH121" s="353"/>
      <c r="AI121" s="353"/>
      <c r="AJ121" s="249"/>
      <c r="AK121" s="249"/>
      <c r="AL121" s="249"/>
      <c r="AQ121" s="249"/>
      <c r="AR121" s="249"/>
      <c r="AS121" s="249"/>
      <c r="AT121" s="249"/>
      <c r="AU121" s="249"/>
      <c r="AV121" s="249"/>
      <c r="AX121" s="249"/>
      <c r="AZ121" s="249"/>
      <c r="BB121" s="249"/>
      <c r="BC121" s="249"/>
      <c r="BD121" s="249"/>
      <c r="CB121" s="249"/>
      <c r="CC121" s="249"/>
      <c r="CD121" s="249"/>
      <c r="CE121" s="249"/>
      <c r="CM121" s="249"/>
      <c r="CN121" s="249"/>
      <c r="CO121" s="249"/>
      <c r="CP121" s="249"/>
    </row>
    <row r="122" spans="3:94">
      <c r="C122" s="287"/>
      <c r="D122" s="347"/>
      <c r="E122" s="347"/>
      <c r="F122" s="347"/>
      <c r="G122" s="347"/>
      <c r="H122" s="347"/>
      <c r="K122" s="249"/>
      <c r="O122" s="249"/>
      <c r="P122" s="347"/>
      <c r="X122" s="249"/>
      <c r="Y122" s="249"/>
      <c r="Z122" s="249"/>
      <c r="AA122" s="249"/>
      <c r="AB122" s="249"/>
      <c r="AC122" s="249"/>
      <c r="AD122" s="249"/>
      <c r="AE122" s="249"/>
      <c r="AF122" s="249"/>
      <c r="AG122" s="353"/>
      <c r="AH122" s="353"/>
      <c r="AI122" s="353"/>
      <c r="AJ122" s="249"/>
      <c r="AK122" s="249"/>
      <c r="AL122" s="249"/>
      <c r="AQ122" s="249"/>
      <c r="AR122" s="249"/>
      <c r="AS122" s="249"/>
      <c r="AT122" s="249"/>
      <c r="AU122" s="249"/>
      <c r="AV122" s="249"/>
      <c r="AX122" s="249"/>
      <c r="AZ122" s="249"/>
      <c r="BB122" s="249"/>
      <c r="BC122" s="249"/>
      <c r="BD122" s="249"/>
      <c r="CB122" s="249"/>
      <c r="CC122" s="249"/>
      <c r="CD122" s="249"/>
      <c r="CE122" s="249"/>
      <c r="CM122" s="249"/>
      <c r="CN122" s="249"/>
      <c r="CO122" s="249"/>
      <c r="CP122" s="249"/>
    </row>
    <row r="123" spans="3:94">
      <c r="C123" s="287"/>
      <c r="D123" s="347"/>
      <c r="E123" s="347"/>
      <c r="F123" s="347"/>
      <c r="G123" s="347"/>
      <c r="H123" s="347"/>
      <c r="K123" s="249"/>
      <c r="O123" s="249"/>
      <c r="P123" s="347"/>
      <c r="X123" s="249"/>
      <c r="Y123" s="249"/>
      <c r="Z123" s="249"/>
      <c r="AA123" s="249"/>
      <c r="AB123" s="249"/>
      <c r="AC123" s="249"/>
      <c r="AD123" s="249"/>
      <c r="AE123" s="249"/>
      <c r="AF123" s="249"/>
      <c r="AG123" s="353"/>
      <c r="AH123" s="353"/>
      <c r="AI123" s="353"/>
      <c r="AJ123" s="249"/>
      <c r="AK123" s="249"/>
      <c r="AL123" s="249"/>
      <c r="AQ123" s="249"/>
      <c r="AR123" s="249"/>
      <c r="AS123" s="249"/>
      <c r="AT123" s="249"/>
      <c r="AU123" s="249"/>
      <c r="AV123" s="249"/>
      <c r="AX123" s="249"/>
      <c r="AZ123" s="249"/>
      <c r="BB123" s="249"/>
      <c r="BC123" s="249"/>
      <c r="BD123" s="249"/>
      <c r="CB123" s="249"/>
      <c r="CC123" s="249"/>
      <c r="CD123" s="249"/>
      <c r="CE123" s="249"/>
      <c r="CM123" s="249"/>
      <c r="CN123" s="249"/>
      <c r="CO123" s="249"/>
      <c r="CP123" s="249"/>
    </row>
    <row r="124" spans="3:94">
      <c r="C124" s="287"/>
      <c r="D124" s="347"/>
      <c r="E124" s="347"/>
      <c r="F124" s="347"/>
      <c r="G124" s="347"/>
      <c r="H124" s="347"/>
      <c r="K124" s="249"/>
      <c r="O124" s="249"/>
      <c r="P124" s="347"/>
      <c r="X124" s="249"/>
      <c r="Y124" s="249"/>
      <c r="Z124" s="249"/>
      <c r="AA124" s="249"/>
      <c r="AB124" s="249"/>
      <c r="AC124" s="249"/>
      <c r="AD124" s="249"/>
      <c r="AE124" s="249"/>
      <c r="AF124" s="249"/>
      <c r="AG124" s="353"/>
      <c r="AH124" s="353"/>
      <c r="AI124" s="353"/>
      <c r="AJ124" s="249"/>
      <c r="AK124" s="249"/>
      <c r="AL124" s="249"/>
      <c r="AQ124" s="249"/>
      <c r="AR124" s="249"/>
      <c r="AS124" s="249"/>
      <c r="AT124" s="249"/>
      <c r="AU124" s="249"/>
      <c r="AV124" s="249"/>
      <c r="AX124" s="249"/>
      <c r="AZ124" s="249"/>
      <c r="BB124" s="249"/>
      <c r="BC124" s="249"/>
      <c r="BD124" s="249"/>
      <c r="CB124" s="249"/>
      <c r="CC124" s="249"/>
      <c r="CD124" s="249"/>
      <c r="CE124" s="249"/>
      <c r="CM124" s="249"/>
      <c r="CN124" s="249"/>
      <c r="CO124" s="249"/>
      <c r="CP124" s="249"/>
    </row>
    <row r="125" spans="3:94">
      <c r="C125" s="287"/>
      <c r="D125" s="347"/>
      <c r="E125" s="347"/>
      <c r="F125" s="347"/>
      <c r="G125" s="347"/>
      <c r="H125" s="347"/>
      <c r="K125" s="249"/>
      <c r="O125" s="249"/>
      <c r="P125" s="347"/>
      <c r="X125" s="249"/>
      <c r="Y125" s="249"/>
      <c r="Z125" s="249"/>
      <c r="AA125" s="249"/>
      <c r="AB125" s="249"/>
      <c r="AC125" s="249"/>
      <c r="AD125" s="249"/>
      <c r="AE125" s="249"/>
      <c r="AF125" s="249"/>
      <c r="AG125" s="353"/>
      <c r="AH125" s="353"/>
      <c r="AI125" s="353"/>
      <c r="AJ125" s="249"/>
      <c r="AK125" s="249"/>
      <c r="AL125" s="249"/>
      <c r="AQ125" s="249"/>
      <c r="AR125" s="249"/>
      <c r="AS125" s="249"/>
      <c r="AT125" s="249"/>
      <c r="AU125" s="249"/>
      <c r="AV125" s="249"/>
      <c r="AX125" s="249"/>
      <c r="AZ125" s="249"/>
      <c r="BB125" s="249"/>
      <c r="BC125" s="249"/>
      <c r="BD125" s="249"/>
      <c r="CB125" s="249"/>
      <c r="CC125" s="249"/>
      <c r="CD125" s="249"/>
      <c r="CE125" s="249"/>
      <c r="CM125" s="249"/>
      <c r="CN125" s="249"/>
      <c r="CO125" s="249"/>
      <c r="CP125" s="249"/>
    </row>
    <row r="126" spans="3:94">
      <c r="C126" s="287"/>
      <c r="D126" s="347"/>
      <c r="E126" s="347"/>
      <c r="F126" s="347"/>
      <c r="G126" s="347"/>
      <c r="H126" s="347"/>
      <c r="K126" s="249"/>
      <c r="O126" s="249"/>
      <c r="P126" s="347"/>
      <c r="X126" s="249"/>
      <c r="Y126" s="249"/>
      <c r="Z126" s="249"/>
      <c r="AA126" s="249"/>
      <c r="AB126" s="249"/>
      <c r="AC126" s="249"/>
      <c r="AD126" s="249"/>
      <c r="AE126" s="249"/>
      <c r="AF126" s="249"/>
      <c r="AG126" s="353"/>
      <c r="AH126" s="353"/>
      <c r="AI126" s="353"/>
      <c r="AJ126" s="249"/>
      <c r="AK126" s="249"/>
      <c r="AL126" s="249"/>
      <c r="AQ126" s="249"/>
      <c r="AR126" s="249"/>
      <c r="AS126" s="249"/>
      <c r="AT126" s="249"/>
      <c r="AU126" s="249"/>
      <c r="AV126" s="249"/>
      <c r="AX126" s="249"/>
      <c r="AZ126" s="249"/>
      <c r="BB126" s="249"/>
      <c r="BC126" s="249"/>
      <c r="BD126" s="249"/>
      <c r="CB126" s="249"/>
      <c r="CC126" s="249"/>
      <c r="CD126" s="249"/>
      <c r="CE126" s="249"/>
      <c r="CM126" s="249"/>
      <c r="CN126" s="249"/>
      <c r="CO126" s="249"/>
      <c r="CP126" s="249"/>
    </row>
    <row r="127" spans="3:94">
      <c r="C127" s="287"/>
      <c r="D127" s="347"/>
      <c r="E127" s="347"/>
      <c r="F127" s="347"/>
      <c r="G127" s="347"/>
      <c r="H127" s="347"/>
      <c r="K127" s="249"/>
      <c r="O127" s="249"/>
      <c r="P127" s="347"/>
      <c r="X127" s="249"/>
      <c r="Y127" s="249"/>
      <c r="Z127" s="249"/>
      <c r="AA127" s="249"/>
      <c r="AB127" s="249"/>
      <c r="AC127" s="249"/>
      <c r="AD127" s="249"/>
      <c r="AE127" s="249"/>
      <c r="AF127" s="249"/>
      <c r="AG127" s="353"/>
      <c r="AH127" s="353"/>
      <c r="AI127" s="353"/>
      <c r="AJ127" s="249"/>
      <c r="AK127" s="249"/>
      <c r="AL127" s="249"/>
      <c r="AQ127" s="249"/>
      <c r="AR127" s="249"/>
      <c r="AS127" s="249"/>
      <c r="AT127" s="249"/>
      <c r="AU127" s="249"/>
      <c r="AV127" s="249"/>
      <c r="AX127" s="249"/>
      <c r="AZ127" s="249"/>
      <c r="BB127" s="249"/>
      <c r="BC127" s="249"/>
      <c r="BD127" s="249"/>
      <c r="CB127" s="249"/>
      <c r="CC127" s="249"/>
      <c r="CD127" s="249"/>
      <c r="CE127" s="249"/>
      <c r="CM127" s="249"/>
      <c r="CN127" s="249"/>
      <c r="CO127" s="249"/>
      <c r="CP127" s="249"/>
    </row>
    <row r="128" spans="3:94">
      <c r="C128" s="287"/>
      <c r="D128" s="347"/>
      <c r="E128" s="347"/>
      <c r="F128" s="347"/>
      <c r="G128" s="347"/>
      <c r="H128" s="347"/>
      <c r="K128" s="249"/>
      <c r="O128" s="249"/>
      <c r="P128" s="347"/>
      <c r="X128" s="249"/>
      <c r="Y128" s="249"/>
      <c r="Z128" s="249"/>
      <c r="AA128" s="249"/>
      <c r="AB128" s="249"/>
      <c r="AC128" s="249"/>
      <c r="AD128" s="249"/>
      <c r="AE128" s="249"/>
      <c r="AF128" s="249"/>
      <c r="AG128" s="353"/>
      <c r="AH128" s="353"/>
      <c r="AI128" s="353"/>
      <c r="AJ128" s="249"/>
      <c r="AK128" s="249"/>
      <c r="AL128" s="249"/>
      <c r="AQ128" s="249"/>
      <c r="AR128" s="249"/>
      <c r="AS128" s="249"/>
      <c r="AT128" s="249"/>
      <c r="AU128" s="249"/>
      <c r="AV128" s="249"/>
      <c r="AX128" s="249"/>
      <c r="AZ128" s="249"/>
      <c r="BB128" s="249"/>
      <c r="BC128" s="249"/>
      <c r="BD128" s="249"/>
      <c r="CB128" s="249"/>
      <c r="CC128" s="249"/>
      <c r="CD128" s="249"/>
      <c r="CE128" s="249"/>
      <c r="CM128" s="249"/>
      <c r="CN128" s="249"/>
      <c r="CO128" s="249"/>
      <c r="CP128" s="249"/>
    </row>
    <row r="129" spans="3:94">
      <c r="C129" s="287"/>
      <c r="D129" s="347"/>
      <c r="E129" s="347"/>
      <c r="F129" s="347"/>
      <c r="G129" s="347"/>
      <c r="H129" s="347"/>
      <c r="K129" s="249"/>
      <c r="O129" s="249"/>
      <c r="P129" s="347"/>
      <c r="X129" s="249"/>
      <c r="Y129" s="249"/>
      <c r="Z129" s="249"/>
      <c r="AA129" s="249"/>
      <c r="AB129" s="249"/>
      <c r="AC129" s="249"/>
      <c r="AD129" s="249"/>
      <c r="AE129" s="249"/>
      <c r="AF129" s="249"/>
      <c r="AG129" s="353"/>
      <c r="AH129" s="353"/>
      <c r="AI129" s="353"/>
      <c r="AJ129" s="249"/>
      <c r="AK129" s="249"/>
      <c r="AL129" s="249"/>
      <c r="AQ129" s="249"/>
      <c r="AR129" s="249"/>
      <c r="AS129" s="249"/>
      <c r="AT129" s="249"/>
      <c r="AU129" s="249"/>
      <c r="AV129" s="249"/>
      <c r="AX129" s="249"/>
      <c r="AZ129" s="249"/>
      <c r="BB129" s="249"/>
      <c r="BC129" s="249"/>
      <c r="BD129" s="249"/>
      <c r="CB129" s="249"/>
      <c r="CC129" s="249"/>
      <c r="CD129" s="249"/>
      <c r="CE129" s="249"/>
      <c r="CM129" s="249"/>
      <c r="CN129" s="249"/>
      <c r="CO129" s="249"/>
      <c r="CP129" s="249"/>
    </row>
    <row r="130" spans="3:94">
      <c r="C130" s="287"/>
      <c r="D130" s="347"/>
      <c r="E130" s="347"/>
      <c r="F130" s="347"/>
      <c r="G130" s="347"/>
      <c r="H130" s="347"/>
      <c r="K130" s="249"/>
      <c r="O130" s="249"/>
      <c r="P130" s="347"/>
      <c r="X130" s="249"/>
      <c r="Y130" s="249"/>
      <c r="Z130" s="249"/>
      <c r="AA130" s="249"/>
      <c r="AB130" s="249"/>
      <c r="AC130" s="249"/>
      <c r="AD130" s="249"/>
      <c r="AE130" s="249"/>
      <c r="AF130" s="249"/>
      <c r="AG130" s="353"/>
      <c r="AH130" s="353"/>
      <c r="AI130" s="353"/>
      <c r="AJ130" s="249"/>
      <c r="AK130" s="249"/>
      <c r="AL130" s="249"/>
      <c r="AQ130" s="249"/>
      <c r="AR130" s="249"/>
      <c r="AS130" s="249"/>
      <c r="AT130" s="249"/>
      <c r="AU130" s="249"/>
      <c r="AV130" s="249"/>
      <c r="AX130" s="249"/>
      <c r="AZ130" s="249"/>
      <c r="BB130" s="249"/>
      <c r="BC130" s="249"/>
      <c r="BD130" s="249"/>
      <c r="CB130" s="249"/>
      <c r="CC130" s="249"/>
      <c r="CD130" s="249"/>
      <c r="CE130" s="249"/>
      <c r="CM130" s="249"/>
      <c r="CN130" s="249"/>
      <c r="CO130" s="249"/>
      <c r="CP130" s="249"/>
    </row>
    <row r="131" spans="3:94">
      <c r="C131" s="287"/>
      <c r="D131" s="347"/>
      <c r="E131" s="347"/>
      <c r="F131" s="347"/>
      <c r="G131" s="347"/>
      <c r="H131" s="347"/>
      <c r="K131" s="249"/>
      <c r="O131" s="249"/>
      <c r="P131" s="347"/>
      <c r="X131" s="249"/>
      <c r="Y131" s="249"/>
      <c r="Z131" s="249"/>
      <c r="AA131" s="249"/>
      <c r="AB131" s="249"/>
      <c r="AC131" s="249"/>
      <c r="AD131" s="249"/>
      <c r="AE131" s="249"/>
      <c r="AF131" s="249"/>
      <c r="AG131" s="353"/>
      <c r="AH131" s="353"/>
      <c r="AI131" s="353"/>
      <c r="AJ131" s="249"/>
      <c r="AK131" s="249"/>
      <c r="AL131" s="249"/>
      <c r="AQ131" s="249"/>
      <c r="AR131" s="249"/>
      <c r="AS131" s="249"/>
      <c r="AT131" s="249"/>
      <c r="AU131" s="249"/>
      <c r="AV131" s="249"/>
      <c r="AX131" s="249"/>
      <c r="AZ131" s="249"/>
      <c r="BB131" s="249"/>
      <c r="BC131" s="249"/>
      <c r="BD131" s="249"/>
      <c r="CB131" s="249"/>
      <c r="CC131" s="249"/>
      <c r="CD131" s="249"/>
      <c r="CE131" s="249"/>
      <c r="CM131" s="249"/>
      <c r="CN131" s="249"/>
      <c r="CO131" s="249"/>
      <c r="CP131" s="249"/>
    </row>
    <row r="132" spans="3:94">
      <c r="C132" s="287"/>
      <c r="D132" s="347"/>
      <c r="E132" s="347"/>
      <c r="F132" s="347"/>
      <c r="G132" s="347"/>
      <c r="H132" s="347"/>
      <c r="K132" s="249"/>
      <c r="O132" s="249"/>
      <c r="P132" s="347"/>
      <c r="X132" s="249"/>
      <c r="Y132" s="249"/>
      <c r="Z132" s="249"/>
      <c r="AA132" s="249"/>
      <c r="AB132" s="249"/>
      <c r="AC132" s="249"/>
      <c r="AD132" s="249"/>
      <c r="AE132" s="249"/>
      <c r="AF132" s="249"/>
      <c r="AG132" s="353"/>
      <c r="AH132" s="353"/>
      <c r="AI132" s="353"/>
      <c r="AJ132" s="249"/>
      <c r="AK132" s="249"/>
      <c r="AL132" s="249"/>
      <c r="AQ132" s="249"/>
      <c r="AR132" s="249"/>
      <c r="AS132" s="249"/>
      <c r="AT132" s="249"/>
      <c r="AU132" s="249"/>
      <c r="AV132" s="249"/>
      <c r="AX132" s="249"/>
      <c r="AZ132" s="249"/>
      <c r="BB132" s="249"/>
      <c r="BC132" s="249"/>
      <c r="BD132" s="249"/>
      <c r="CB132" s="249"/>
      <c r="CC132" s="249"/>
      <c r="CD132" s="249"/>
      <c r="CE132" s="249"/>
      <c r="CM132" s="249"/>
      <c r="CN132" s="249"/>
      <c r="CO132" s="249"/>
      <c r="CP132" s="249"/>
    </row>
    <row r="133" spans="3:94">
      <c r="C133" s="287"/>
      <c r="D133" s="347"/>
      <c r="E133" s="347"/>
      <c r="F133" s="347"/>
      <c r="G133" s="347"/>
      <c r="H133" s="347"/>
      <c r="K133" s="249"/>
      <c r="O133" s="249"/>
      <c r="P133" s="347"/>
      <c r="X133" s="249"/>
      <c r="Y133" s="249"/>
      <c r="Z133" s="249"/>
      <c r="AA133" s="249"/>
      <c r="AB133" s="249"/>
      <c r="AC133" s="249"/>
      <c r="AD133" s="249"/>
      <c r="AE133" s="249"/>
      <c r="AF133" s="249"/>
      <c r="AG133" s="353"/>
      <c r="AH133" s="353"/>
      <c r="AI133" s="353"/>
      <c r="AJ133" s="249"/>
      <c r="AK133" s="249"/>
      <c r="AL133" s="249"/>
      <c r="AQ133" s="249"/>
      <c r="AR133" s="249"/>
      <c r="AS133" s="249"/>
      <c r="AT133" s="249"/>
      <c r="AU133" s="249"/>
      <c r="AV133" s="249"/>
      <c r="AX133" s="249"/>
      <c r="AZ133" s="249"/>
      <c r="BB133" s="249"/>
      <c r="BC133" s="249"/>
      <c r="BD133" s="249"/>
      <c r="CB133" s="249"/>
      <c r="CC133" s="249"/>
      <c r="CD133" s="249"/>
      <c r="CE133" s="249"/>
      <c r="CM133" s="249"/>
      <c r="CN133" s="249"/>
      <c r="CO133" s="249"/>
      <c r="CP133" s="249"/>
    </row>
    <row r="134" spans="3:94">
      <c r="C134" s="287"/>
      <c r="D134" s="347"/>
      <c r="E134" s="347"/>
      <c r="F134" s="347"/>
      <c r="G134" s="347"/>
      <c r="H134" s="347"/>
      <c r="K134" s="249"/>
      <c r="O134" s="249"/>
      <c r="P134" s="347"/>
      <c r="X134" s="249"/>
      <c r="Y134" s="249"/>
      <c r="Z134" s="249"/>
      <c r="AA134" s="249"/>
      <c r="AB134" s="249"/>
      <c r="AC134" s="249"/>
      <c r="AD134" s="249"/>
      <c r="AE134" s="249"/>
      <c r="AF134" s="249"/>
      <c r="AG134" s="353"/>
      <c r="AH134" s="353"/>
      <c r="AI134" s="353"/>
      <c r="AJ134" s="249"/>
      <c r="AK134" s="249"/>
      <c r="AL134" s="249"/>
      <c r="AQ134" s="249"/>
      <c r="AR134" s="249"/>
      <c r="AS134" s="249"/>
      <c r="AT134" s="249"/>
      <c r="AU134" s="249"/>
      <c r="AV134" s="249"/>
      <c r="AX134" s="249"/>
      <c r="AZ134" s="249"/>
      <c r="BB134" s="249"/>
      <c r="BC134" s="249"/>
      <c r="BD134" s="249"/>
      <c r="CB134" s="249"/>
      <c r="CC134" s="249"/>
      <c r="CD134" s="249"/>
      <c r="CE134" s="249"/>
      <c r="CM134" s="249"/>
      <c r="CN134" s="249"/>
      <c r="CO134" s="249"/>
      <c r="CP134" s="249"/>
    </row>
    <row r="135" spans="3:94">
      <c r="C135" s="287"/>
      <c r="D135" s="347"/>
      <c r="E135" s="347"/>
      <c r="F135" s="347"/>
      <c r="G135" s="347"/>
      <c r="H135" s="347"/>
      <c r="K135" s="249"/>
      <c r="O135" s="249"/>
      <c r="P135" s="347"/>
      <c r="X135" s="249"/>
      <c r="Y135" s="249"/>
      <c r="Z135" s="249"/>
      <c r="AA135" s="249"/>
      <c r="AB135" s="249"/>
      <c r="AC135" s="249"/>
      <c r="AD135" s="249"/>
      <c r="AE135" s="249"/>
      <c r="AF135" s="249"/>
      <c r="AG135" s="353"/>
      <c r="AH135" s="353"/>
      <c r="AI135" s="353"/>
      <c r="AJ135" s="249"/>
      <c r="AK135" s="249"/>
      <c r="AL135" s="249"/>
      <c r="AQ135" s="249"/>
      <c r="AR135" s="249"/>
      <c r="AS135" s="249"/>
      <c r="AT135" s="249"/>
      <c r="AU135" s="249"/>
      <c r="AV135" s="249"/>
      <c r="AX135" s="249"/>
      <c r="AZ135" s="249"/>
      <c r="BB135" s="249"/>
      <c r="BC135" s="249"/>
      <c r="BD135" s="249"/>
      <c r="CB135" s="249"/>
      <c r="CC135" s="249"/>
      <c r="CD135" s="249"/>
      <c r="CE135" s="249"/>
      <c r="CM135" s="249"/>
      <c r="CN135" s="249"/>
      <c r="CO135" s="249"/>
      <c r="CP135" s="249"/>
    </row>
    <row r="136" spans="3:94">
      <c r="C136" s="287"/>
      <c r="D136" s="347"/>
      <c r="E136" s="347"/>
      <c r="F136" s="347"/>
      <c r="G136" s="347"/>
      <c r="H136" s="347"/>
      <c r="K136" s="249"/>
      <c r="O136" s="249"/>
      <c r="P136" s="347"/>
      <c r="X136" s="249"/>
      <c r="Y136" s="249"/>
      <c r="Z136" s="249"/>
      <c r="AA136" s="249"/>
      <c r="AB136" s="249"/>
      <c r="AC136" s="249"/>
      <c r="AD136" s="249"/>
      <c r="AE136" s="249"/>
      <c r="AF136" s="249"/>
      <c r="AG136" s="353"/>
      <c r="AH136" s="353"/>
      <c r="AI136" s="353"/>
      <c r="AJ136" s="249"/>
      <c r="AK136" s="249"/>
      <c r="AL136" s="249"/>
      <c r="AQ136" s="249"/>
      <c r="AR136" s="249"/>
      <c r="AS136" s="249"/>
      <c r="AT136" s="249"/>
      <c r="AU136" s="249"/>
      <c r="AV136" s="249"/>
      <c r="AX136" s="249"/>
      <c r="AZ136" s="249"/>
      <c r="BB136" s="249"/>
      <c r="BC136" s="249"/>
      <c r="BD136" s="249"/>
      <c r="CB136" s="249"/>
      <c r="CC136" s="249"/>
      <c r="CD136" s="249"/>
      <c r="CE136" s="249"/>
      <c r="CM136" s="249"/>
      <c r="CN136" s="249"/>
      <c r="CO136" s="249"/>
      <c r="CP136" s="249"/>
    </row>
    <row r="137" spans="3:94">
      <c r="C137" s="287"/>
      <c r="D137" s="347"/>
      <c r="E137" s="347"/>
      <c r="F137" s="347"/>
      <c r="G137" s="347"/>
      <c r="H137" s="347"/>
      <c r="K137" s="249"/>
      <c r="O137" s="249"/>
      <c r="P137" s="347"/>
      <c r="X137" s="249"/>
      <c r="Y137" s="249"/>
      <c r="Z137" s="249"/>
      <c r="AA137" s="249"/>
      <c r="AB137" s="249"/>
      <c r="AC137" s="249"/>
      <c r="AD137" s="249"/>
      <c r="AE137" s="249"/>
      <c r="AF137" s="249"/>
      <c r="AG137" s="353"/>
      <c r="AH137" s="353"/>
      <c r="AI137" s="353"/>
      <c r="AJ137" s="249"/>
      <c r="AK137" s="249"/>
      <c r="AL137" s="249"/>
      <c r="AQ137" s="249"/>
      <c r="AR137" s="249"/>
      <c r="AS137" s="249"/>
      <c r="AT137" s="249"/>
      <c r="AU137" s="249"/>
      <c r="AV137" s="249"/>
      <c r="AX137" s="249"/>
      <c r="AZ137" s="249"/>
      <c r="BB137" s="249"/>
      <c r="BC137" s="249"/>
      <c r="BD137" s="249"/>
      <c r="CB137" s="249"/>
      <c r="CC137" s="249"/>
      <c r="CD137" s="249"/>
      <c r="CE137" s="249"/>
      <c r="CM137" s="249"/>
      <c r="CN137" s="249"/>
      <c r="CO137" s="249"/>
      <c r="CP137" s="249"/>
    </row>
    <row r="138" spans="3:94">
      <c r="C138" s="287"/>
      <c r="D138" s="347"/>
      <c r="E138" s="347"/>
      <c r="F138" s="347"/>
      <c r="G138" s="347"/>
      <c r="H138" s="347"/>
      <c r="K138" s="249"/>
      <c r="O138" s="249"/>
      <c r="P138" s="347"/>
      <c r="X138" s="249"/>
      <c r="Y138" s="249"/>
      <c r="Z138" s="249"/>
      <c r="AA138" s="249"/>
      <c r="AB138" s="249"/>
      <c r="AC138" s="249"/>
      <c r="AD138" s="249"/>
      <c r="AE138" s="249"/>
      <c r="AF138" s="249"/>
      <c r="AG138" s="353"/>
      <c r="AH138" s="353"/>
      <c r="AI138" s="353"/>
      <c r="AJ138" s="249"/>
      <c r="AK138" s="249"/>
      <c r="AL138" s="249"/>
      <c r="AQ138" s="249"/>
      <c r="AR138" s="249"/>
      <c r="AS138" s="249"/>
      <c r="AT138" s="249"/>
      <c r="AU138" s="249"/>
      <c r="AV138" s="249"/>
      <c r="AX138" s="249"/>
      <c r="AZ138" s="249"/>
      <c r="BB138" s="249"/>
      <c r="BC138" s="249"/>
      <c r="BD138" s="249"/>
      <c r="CB138" s="249"/>
      <c r="CC138" s="249"/>
      <c r="CD138" s="249"/>
      <c r="CE138" s="249"/>
      <c r="CM138" s="249"/>
      <c r="CN138" s="249"/>
      <c r="CO138" s="249"/>
      <c r="CP138" s="249"/>
    </row>
    <row r="139" spans="3:94">
      <c r="C139" s="287"/>
      <c r="D139" s="347"/>
      <c r="E139" s="347"/>
      <c r="F139" s="347"/>
      <c r="G139" s="347"/>
      <c r="H139" s="347"/>
      <c r="K139" s="249"/>
      <c r="O139" s="249"/>
      <c r="P139" s="347"/>
      <c r="X139" s="249"/>
      <c r="Y139" s="249"/>
      <c r="Z139" s="249"/>
      <c r="AA139" s="249"/>
      <c r="AB139" s="249"/>
      <c r="AC139" s="249"/>
      <c r="AD139" s="249"/>
      <c r="AE139" s="249"/>
      <c r="AF139" s="249"/>
      <c r="AG139" s="353"/>
      <c r="AH139" s="353"/>
      <c r="AI139" s="353"/>
      <c r="AJ139" s="249"/>
      <c r="AK139" s="249"/>
      <c r="AL139" s="249"/>
      <c r="AQ139" s="249"/>
      <c r="AR139" s="249"/>
      <c r="AS139" s="249"/>
      <c r="AT139" s="249"/>
      <c r="AU139" s="249"/>
      <c r="AV139" s="249"/>
      <c r="AX139" s="249"/>
      <c r="AZ139" s="249"/>
      <c r="BB139" s="249"/>
      <c r="BC139" s="249"/>
      <c r="BD139" s="249"/>
      <c r="CB139" s="249"/>
      <c r="CC139" s="249"/>
      <c r="CD139" s="249"/>
      <c r="CE139" s="249"/>
      <c r="CM139" s="249"/>
      <c r="CN139" s="249"/>
      <c r="CO139" s="249"/>
      <c r="CP139" s="249"/>
    </row>
    <row r="140" spans="3:94">
      <c r="C140" s="287"/>
      <c r="D140" s="347"/>
      <c r="E140" s="347"/>
      <c r="F140" s="347"/>
      <c r="G140" s="347"/>
      <c r="H140" s="347"/>
      <c r="K140" s="249"/>
      <c r="O140" s="249"/>
      <c r="P140" s="347"/>
      <c r="X140" s="249"/>
      <c r="Y140" s="249"/>
      <c r="Z140" s="249"/>
      <c r="AA140" s="249"/>
      <c r="AB140" s="249"/>
      <c r="AC140" s="249"/>
      <c r="AD140" s="249"/>
      <c r="AE140" s="249"/>
      <c r="AF140" s="249"/>
      <c r="AG140" s="353"/>
      <c r="AH140" s="353"/>
      <c r="AI140" s="353"/>
      <c r="AJ140" s="249"/>
      <c r="AK140" s="249"/>
      <c r="AL140" s="249"/>
      <c r="AQ140" s="249"/>
      <c r="AR140" s="249"/>
      <c r="AS140" s="249"/>
      <c r="AT140" s="249"/>
      <c r="AU140" s="249"/>
      <c r="AV140" s="249"/>
      <c r="AX140" s="249"/>
      <c r="AZ140" s="249"/>
      <c r="BB140" s="249"/>
      <c r="BC140" s="249"/>
      <c r="BD140" s="249"/>
      <c r="CB140" s="249"/>
      <c r="CC140" s="249"/>
      <c r="CD140" s="249"/>
      <c r="CE140" s="249"/>
      <c r="CM140" s="249"/>
      <c r="CN140" s="249"/>
      <c r="CO140" s="249"/>
      <c r="CP140" s="249"/>
    </row>
    <row r="141" spans="3:94">
      <c r="C141" s="287"/>
      <c r="D141" s="347"/>
      <c r="E141" s="347"/>
      <c r="F141" s="347"/>
      <c r="G141" s="347"/>
      <c r="H141" s="347"/>
      <c r="K141" s="249"/>
      <c r="O141" s="249"/>
      <c r="P141" s="347"/>
      <c r="X141" s="249"/>
      <c r="Y141" s="249"/>
      <c r="Z141" s="249"/>
      <c r="AA141" s="249"/>
      <c r="AB141" s="249"/>
      <c r="AC141" s="249"/>
      <c r="AD141" s="249"/>
      <c r="AE141" s="249"/>
      <c r="AF141" s="249"/>
      <c r="AG141" s="353"/>
      <c r="AH141" s="353"/>
      <c r="AI141" s="353"/>
      <c r="AJ141" s="249"/>
      <c r="AK141" s="249"/>
      <c r="AL141" s="249"/>
      <c r="AQ141" s="249"/>
      <c r="AR141" s="249"/>
      <c r="AS141" s="249"/>
      <c r="AT141" s="249"/>
      <c r="AU141" s="249"/>
      <c r="AV141" s="249"/>
      <c r="AX141" s="249"/>
      <c r="AZ141" s="249"/>
      <c r="BB141" s="249"/>
      <c r="BC141" s="249"/>
      <c r="BD141" s="249"/>
      <c r="CB141" s="249"/>
      <c r="CC141" s="249"/>
      <c r="CD141" s="249"/>
      <c r="CE141" s="249"/>
      <c r="CM141" s="249"/>
      <c r="CN141" s="249"/>
      <c r="CO141" s="249"/>
      <c r="CP141" s="249"/>
    </row>
    <row r="142" spans="3:94">
      <c r="C142" s="287"/>
      <c r="D142" s="347"/>
      <c r="E142" s="347"/>
      <c r="F142" s="347"/>
      <c r="G142" s="347"/>
      <c r="H142" s="347"/>
      <c r="K142" s="249"/>
      <c r="O142" s="249"/>
      <c r="P142" s="347"/>
      <c r="X142" s="249"/>
      <c r="Y142" s="249"/>
      <c r="Z142" s="249"/>
      <c r="AA142" s="249"/>
      <c r="AB142" s="249"/>
      <c r="AC142" s="249"/>
      <c r="AD142" s="249"/>
      <c r="AE142" s="249"/>
      <c r="AF142" s="249"/>
      <c r="AG142" s="353"/>
      <c r="AH142" s="353"/>
      <c r="AI142" s="353"/>
      <c r="AJ142" s="249"/>
      <c r="AK142" s="249"/>
      <c r="AL142" s="249"/>
      <c r="AQ142" s="249"/>
      <c r="AR142" s="249"/>
      <c r="AS142" s="249"/>
      <c r="AT142" s="249"/>
      <c r="AU142" s="249"/>
      <c r="AV142" s="249"/>
      <c r="AX142" s="249"/>
      <c r="AZ142" s="249"/>
      <c r="BB142" s="249"/>
      <c r="BC142" s="249"/>
      <c r="BD142" s="249"/>
      <c r="CB142" s="249"/>
      <c r="CC142" s="249"/>
      <c r="CD142" s="249"/>
      <c r="CE142" s="249"/>
      <c r="CM142" s="249"/>
      <c r="CN142" s="249"/>
      <c r="CO142" s="249"/>
      <c r="CP142" s="249"/>
    </row>
    <row r="143" spans="3:94">
      <c r="C143" s="287"/>
      <c r="D143" s="347"/>
      <c r="E143" s="347"/>
      <c r="F143" s="347"/>
      <c r="G143" s="347"/>
      <c r="H143" s="347"/>
      <c r="K143" s="249"/>
      <c r="O143" s="249"/>
      <c r="P143" s="347"/>
      <c r="X143" s="249"/>
      <c r="Y143" s="249"/>
      <c r="Z143" s="249"/>
      <c r="AA143" s="249"/>
      <c r="AB143" s="249"/>
      <c r="AC143" s="249"/>
      <c r="AD143" s="249"/>
      <c r="AE143" s="249"/>
      <c r="AF143" s="249"/>
      <c r="AG143" s="353"/>
      <c r="AH143" s="353"/>
      <c r="AI143" s="353"/>
      <c r="AJ143" s="249"/>
      <c r="AK143" s="249"/>
      <c r="AL143" s="249"/>
      <c r="AQ143" s="249"/>
      <c r="AR143" s="249"/>
      <c r="AS143" s="249"/>
      <c r="AT143" s="249"/>
      <c r="AU143" s="249"/>
      <c r="AV143" s="249"/>
      <c r="AX143" s="249"/>
      <c r="AZ143" s="249"/>
      <c r="BB143" s="249"/>
      <c r="BC143" s="249"/>
      <c r="BD143" s="249"/>
      <c r="CB143" s="249"/>
      <c r="CC143" s="249"/>
      <c r="CD143" s="249"/>
      <c r="CE143" s="249"/>
      <c r="CM143" s="249"/>
      <c r="CN143" s="249"/>
      <c r="CO143" s="249"/>
      <c r="CP143" s="249"/>
    </row>
    <row r="144" spans="3:94">
      <c r="C144" s="287"/>
      <c r="D144" s="347"/>
      <c r="E144" s="347"/>
      <c r="F144" s="347"/>
      <c r="G144" s="347"/>
      <c r="H144" s="347"/>
      <c r="K144" s="249"/>
      <c r="O144" s="249"/>
      <c r="P144" s="347"/>
      <c r="X144" s="249"/>
      <c r="Y144" s="249"/>
      <c r="Z144" s="249"/>
      <c r="AA144" s="249"/>
      <c r="AB144" s="249"/>
      <c r="AC144" s="249"/>
      <c r="AD144" s="249"/>
      <c r="AE144" s="249"/>
      <c r="AF144" s="249"/>
      <c r="AG144" s="353"/>
      <c r="AH144" s="353"/>
      <c r="AI144" s="353"/>
      <c r="AJ144" s="249"/>
      <c r="AK144" s="249"/>
      <c r="AL144" s="249"/>
      <c r="AQ144" s="249"/>
      <c r="AR144" s="249"/>
      <c r="AS144" s="249"/>
      <c r="AT144" s="249"/>
      <c r="AU144" s="249"/>
      <c r="AV144" s="249"/>
      <c r="AX144" s="249"/>
      <c r="AZ144" s="249"/>
      <c r="BB144" s="249"/>
      <c r="BC144" s="249"/>
      <c r="BD144" s="249"/>
      <c r="CB144" s="249"/>
      <c r="CC144" s="249"/>
      <c r="CD144" s="249"/>
      <c r="CE144" s="249"/>
      <c r="CM144" s="249"/>
      <c r="CN144" s="249"/>
      <c r="CO144" s="249"/>
      <c r="CP144" s="249"/>
    </row>
    <row r="145" spans="3:94">
      <c r="C145" s="287"/>
      <c r="D145" s="347"/>
      <c r="E145" s="347"/>
      <c r="F145" s="347"/>
      <c r="G145" s="347"/>
      <c r="H145" s="347"/>
      <c r="K145" s="249"/>
      <c r="O145" s="249"/>
      <c r="P145" s="347"/>
      <c r="X145" s="249"/>
      <c r="Y145" s="249"/>
      <c r="Z145" s="249"/>
      <c r="AA145" s="249"/>
      <c r="AB145" s="249"/>
      <c r="AC145" s="249"/>
      <c r="AD145" s="249"/>
      <c r="AE145" s="249"/>
      <c r="AF145" s="249"/>
      <c r="AG145" s="353"/>
      <c r="AH145" s="353"/>
      <c r="AI145" s="353"/>
      <c r="AJ145" s="249"/>
      <c r="AK145" s="249"/>
      <c r="AL145" s="249"/>
      <c r="AQ145" s="249"/>
      <c r="AR145" s="249"/>
      <c r="AS145" s="249"/>
      <c r="AT145" s="249"/>
      <c r="AU145" s="249"/>
      <c r="AV145" s="249"/>
      <c r="AX145" s="249"/>
      <c r="AZ145" s="249"/>
      <c r="BB145" s="249"/>
      <c r="BC145" s="249"/>
      <c r="BD145" s="249"/>
      <c r="CB145" s="249"/>
      <c r="CC145" s="249"/>
      <c r="CD145" s="249"/>
      <c r="CE145" s="249"/>
      <c r="CM145" s="249"/>
      <c r="CN145" s="249"/>
      <c r="CO145" s="249"/>
      <c r="CP145" s="249"/>
    </row>
    <row r="146" spans="3:94">
      <c r="C146" s="287"/>
      <c r="D146" s="347"/>
      <c r="E146" s="347"/>
      <c r="F146" s="347"/>
      <c r="G146" s="347"/>
      <c r="H146" s="347"/>
      <c r="K146" s="249"/>
      <c r="O146" s="249"/>
      <c r="P146" s="347"/>
      <c r="X146" s="249"/>
      <c r="Y146" s="249"/>
      <c r="Z146" s="249"/>
      <c r="AA146" s="249"/>
      <c r="AB146" s="249"/>
      <c r="AC146" s="249"/>
      <c r="AD146" s="249"/>
      <c r="AE146" s="249"/>
      <c r="AF146" s="249"/>
      <c r="AG146" s="353"/>
      <c r="AH146" s="353"/>
      <c r="AI146" s="353"/>
      <c r="AJ146" s="249"/>
      <c r="AK146" s="249"/>
      <c r="AL146" s="249"/>
      <c r="AQ146" s="249"/>
      <c r="AR146" s="249"/>
      <c r="AS146" s="249"/>
      <c r="AT146" s="249"/>
      <c r="AU146" s="249"/>
      <c r="AV146" s="249"/>
      <c r="AX146" s="249"/>
      <c r="AZ146" s="249"/>
      <c r="BB146" s="249"/>
      <c r="BC146" s="249"/>
      <c r="BD146" s="249"/>
      <c r="CB146" s="249"/>
      <c r="CC146" s="249"/>
      <c r="CD146" s="249"/>
      <c r="CE146" s="249"/>
      <c r="CM146" s="249"/>
      <c r="CN146" s="249"/>
      <c r="CO146" s="249"/>
      <c r="CP146" s="249"/>
    </row>
    <row r="147" spans="3:94">
      <c r="C147" s="287"/>
      <c r="D147" s="347"/>
      <c r="E147" s="347"/>
      <c r="F147" s="347"/>
      <c r="G147" s="347"/>
      <c r="H147" s="347"/>
      <c r="K147" s="249"/>
      <c r="O147" s="249"/>
      <c r="P147" s="347"/>
      <c r="X147" s="249"/>
      <c r="Y147" s="249"/>
      <c r="Z147" s="249"/>
      <c r="AA147" s="249"/>
      <c r="AB147" s="249"/>
      <c r="AC147" s="249"/>
      <c r="AD147" s="249"/>
      <c r="AE147" s="249"/>
      <c r="AF147" s="249"/>
      <c r="AG147" s="353"/>
      <c r="AH147" s="353"/>
      <c r="AI147" s="353"/>
      <c r="AJ147" s="249"/>
      <c r="AK147" s="249"/>
      <c r="AL147" s="249"/>
      <c r="AQ147" s="249"/>
      <c r="AR147" s="249"/>
      <c r="AS147" s="249"/>
      <c r="AT147" s="249"/>
      <c r="AU147" s="249"/>
      <c r="AV147" s="249"/>
      <c r="AX147" s="249"/>
      <c r="AZ147" s="249"/>
      <c r="BB147" s="249"/>
      <c r="BC147" s="249"/>
      <c r="BD147" s="249"/>
      <c r="CB147" s="249"/>
      <c r="CC147" s="249"/>
      <c r="CD147" s="249"/>
      <c r="CE147" s="249"/>
      <c r="CM147" s="249"/>
      <c r="CN147" s="249"/>
      <c r="CO147" s="249"/>
      <c r="CP147" s="249"/>
    </row>
    <row r="148" spans="3:94">
      <c r="C148" s="287"/>
      <c r="D148" s="347"/>
      <c r="E148" s="347"/>
      <c r="F148" s="347"/>
      <c r="G148" s="347"/>
      <c r="H148" s="347"/>
      <c r="K148" s="249"/>
      <c r="O148" s="249"/>
      <c r="P148" s="347"/>
      <c r="X148" s="249"/>
      <c r="Y148" s="249"/>
      <c r="Z148" s="249"/>
      <c r="AA148" s="249"/>
      <c r="AB148" s="249"/>
      <c r="AC148" s="249"/>
      <c r="AD148" s="249"/>
      <c r="AE148" s="249"/>
      <c r="AF148" s="249"/>
      <c r="AG148" s="353"/>
      <c r="AH148" s="353"/>
      <c r="AI148" s="353"/>
      <c r="AJ148" s="249"/>
      <c r="AK148" s="249"/>
      <c r="AL148" s="249"/>
      <c r="AQ148" s="249"/>
      <c r="AR148" s="249"/>
      <c r="AS148" s="249"/>
      <c r="AT148" s="249"/>
      <c r="AU148" s="249"/>
      <c r="AV148" s="249"/>
      <c r="AX148" s="249"/>
      <c r="AZ148" s="249"/>
      <c r="BB148" s="249"/>
      <c r="BC148" s="249"/>
      <c r="BD148" s="249"/>
      <c r="CB148" s="249"/>
      <c r="CC148" s="249"/>
      <c r="CD148" s="249"/>
      <c r="CE148" s="249"/>
      <c r="CM148" s="249"/>
      <c r="CN148" s="249"/>
      <c r="CO148" s="249"/>
      <c r="CP148" s="249"/>
    </row>
    <row r="149" spans="3:94">
      <c r="C149" s="287"/>
      <c r="D149" s="347"/>
      <c r="E149" s="347"/>
      <c r="F149" s="347"/>
      <c r="G149" s="347"/>
      <c r="H149" s="347"/>
      <c r="K149" s="249"/>
      <c r="O149" s="249"/>
      <c r="P149" s="347"/>
      <c r="X149" s="249"/>
      <c r="Y149" s="249"/>
      <c r="Z149" s="249"/>
      <c r="AA149" s="249"/>
      <c r="AB149" s="249"/>
      <c r="AC149" s="249"/>
      <c r="AD149" s="249"/>
      <c r="AE149" s="249"/>
      <c r="AF149" s="249"/>
      <c r="AG149" s="353"/>
      <c r="AH149" s="353"/>
      <c r="AI149" s="353"/>
      <c r="AJ149" s="249"/>
      <c r="AK149" s="249"/>
      <c r="AL149" s="249"/>
      <c r="AQ149" s="249"/>
      <c r="AR149" s="249"/>
      <c r="AS149" s="249"/>
      <c r="AT149" s="249"/>
      <c r="AU149" s="249"/>
      <c r="AV149" s="249"/>
      <c r="AX149" s="249"/>
      <c r="AZ149" s="249"/>
      <c r="BB149" s="249"/>
      <c r="BC149" s="249"/>
      <c r="BD149" s="249"/>
      <c r="CB149" s="249"/>
      <c r="CC149" s="249"/>
      <c r="CD149" s="249"/>
      <c r="CE149" s="249"/>
      <c r="CM149" s="249"/>
      <c r="CN149" s="249"/>
      <c r="CO149" s="249"/>
      <c r="CP149" s="249"/>
    </row>
    <row r="150" spans="3:94">
      <c r="C150" s="287"/>
      <c r="D150" s="347"/>
      <c r="E150" s="347"/>
      <c r="F150" s="347"/>
      <c r="G150" s="347"/>
      <c r="H150" s="347"/>
      <c r="K150" s="249"/>
      <c r="O150" s="249"/>
      <c r="P150" s="347"/>
      <c r="X150" s="249"/>
      <c r="Y150" s="249"/>
      <c r="Z150" s="249"/>
      <c r="AA150" s="249"/>
      <c r="AB150" s="249"/>
      <c r="AC150" s="249"/>
      <c r="AD150" s="249"/>
      <c r="AE150" s="249"/>
      <c r="AF150" s="249"/>
      <c r="AG150" s="353"/>
      <c r="AH150" s="353"/>
      <c r="AI150" s="353"/>
      <c r="AJ150" s="249"/>
      <c r="AK150" s="249"/>
      <c r="AL150" s="249"/>
      <c r="AQ150" s="249"/>
      <c r="AR150" s="249"/>
      <c r="AS150" s="249"/>
      <c r="AT150" s="249"/>
      <c r="AU150" s="249"/>
      <c r="AV150" s="249"/>
      <c r="AX150" s="249"/>
      <c r="AZ150" s="249"/>
      <c r="BB150" s="249"/>
      <c r="BC150" s="249"/>
      <c r="BD150" s="249"/>
      <c r="CB150" s="249"/>
      <c r="CC150" s="249"/>
      <c r="CD150" s="249"/>
      <c r="CE150" s="249"/>
      <c r="CM150" s="249"/>
      <c r="CN150" s="249"/>
      <c r="CO150" s="249"/>
      <c r="CP150" s="249"/>
    </row>
    <row r="151" spans="3:94">
      <c r="C151" s="287"/>
      <c r="D151" s="347"/>
      <c r="E151" s="347"/>
      <c r="F151" s="347"/>
      <c r="G151" s="347"/>
      <c r="H151" s="347"/>
      <c r="K151" s="249"/>
      <c r="O151" s="249"/>
      <c r="P151" s="347"/>
      <c r="X151" s="249"/>
      <c r="Y151" s="249"/>
      <c r="Z151" s="249"/>
      <c r="AA151" s="249"/>
      <c r="AB151" s="249"/>
      <c r="AC151" s="249"/>
      <c r="AD151" s="249"/>
      <c r="AE151" s="249"/>
      <c r="AF151" s="249"/>
      <c r="AG151" s="353"/>
      <c r="AH151" s="353"/>
      <c r="AI151" s="353"/>
      <c r="AJ151" s="249"/>
      <c r="AK151" s="249"/>
      <c r="AL151" s="249"/>
      <c r="AQ151" s="249"/>
      <c r="AR151" s="249"/>
      <c r="AS151" s="249"/>
      <c r="AT151" s="249"/>
      <c r="AU151" s="249"/>
      <c r="AV151" s="249"/>
      <c r="AX151" s="249"/>
      <c r="AZ151" s="249"/>
      <c r="BB151" s="249"/>
      <c r="BC151" s="249"/>
      <c r="BD151" s="249"/>
      <c r="CB151" s="249"/>
      <c r="CC151" s="249"/>
      <c r="CD151" s="249"/>
      <c r="CE151" s="249"/>
      <c r="CM151" s="249"/>
      <c r="CN151" s="249"/>
      <c r="CO151" s="249"/>
      <c r="CP151" s="249"/>
    </row>
    <row r="152" spans="3:94">
      <c r="C152" s="287"/>
      <c r="D152" s="347"/>
      <c r="E152" s="347"/>
      <c r="F152" s="347"/>
      <c r="G152" s="347"/>
      <c r="H152" s="347"/>
      <c r="K152" s="249"/>
      <c r="O152" s="249"/>
      <c r="P152" s="347"/>
      <c r="X152" s="249"/>
      <c r="Y152" s="249"/>
      <c r="Z152" s="249"/>
      <c r="AA152" s="249"/>
      <c r="AB152" s="249"/>
      <c r="AC152" s="249"/>
      <c r="AD152" s="249"/>
      <c r="AE152" s="249"/>
      <c r="AF152" s="249"/>
      <c r="AG152" s="353"/>
      <c r="AH152" s="353"/>
      <c r="AI152" s="353"/>
      <c r="AJ152" s="249"/>
      <c r="AK152" s="249"/>
      <c r="AL152" s="249"/>
      <c r="AQ152" s="249"/>
      <c r="AR152" s="249"/>
      <c r="AS152" s="249"/>
      <c r="AT152" s="249"/>
      <c r="AU152" s="249"/>
      <c r="AV152" s="249"/>
      <c r="AX152" s="249"/>
      <c r="AZ152" s="249"/>
      <c r="BB152" s="249"/>
      <c r="BC152" s="249"/>
      <c r="BD152" s="249"/>
      <c r="CB152" s="249"/>
      <c r="CC152" s="249"/>
      <c r="CD152" s="249"/>
      <c r="CE152" s="249"/>
      <c r="CM152" s="249"/>
      <c r="CN152" s="249"/>
      <c r="CO152" s="249"/>
      <c r="CP152" s="249"/>
    </row>
    <row r="153" spans="3:94">
      <c r="C153" s="287"/>
      <c r="D153" s="347"/>
      <c r="E153" s="347"/>
      <c r="F153" s="347"/>
      <c r="G153" s="347"/>
      <c r="H153" s="347"/>
      <c r="K153" s="249"/>
      <c r="O153" s="249"/>
      <c r="P153" s="347"/>
      <c r="X153" s="249"/>
      <c r="Y153" s="249"/>
      <c r="Z153" s="249"/>
      <c r="AA153" s="249"/>
      <c r="AB153" s="249"/>
      <c r="AC153" s="249"/>
      <c r="AD153" s="249"/>
      <c r="AE153" s="249"/>
      <c r="AF153" s="249"/>
      <c r="AG153" s="353"/>
      <c r="AH153" s="353"/>
      <c r="AI153" s="353"/>
      <c r="AJ153" s="249"/>
      <c r="AK153" s="249"/>
      <c r="AL153" s="249"/>
      <c r="AQ153" s="249"/>
      <c r="AR153" s="249"/>
      <c r="AS153" s="249"/>
      <c r="AT153" s="249"/>
      <c r="AU153" s="249"/>
      <c r="AV153" s="249"/>
      <c r="AX153" s="249"/>
      <c r="AZ153" s="249"/>
      <c r="BB153" s="249"/>
      <c r="BC153" s="249"/>
      <c r="BD153" s="249"/>
      <c r="CB153" s="249"/>
      <c r="CC153" s="249"/>
      <c r="CD153" s="249"/>
      <c r="CE153" s="249"/>
      <c r="CM153" s="249"/>
      <c r="CN153" s="249"/>
      <c r="CO153" s="249"/>
      <c r="CP153" s="249"/>
    </row>
    <row r="154" spans="3:94">
      <c r="C154" s="287"/>
      <c r="D154" s="347"/>
      <c r="E154" s="347"/>
      <c r="F154" s="347"/>
      <c r="G154" s="347"/>
      <c r="H154" s="347"/>
      <c r="K154" s="249"/>
      <c r="O154" s="249"/>
      <c r="P154" s="347"/>
      <c r="X154" s="249"/>
      <c r="Y154" s="249"/>
      <c r="Z154" s="249"/>
      <c r="AA154" s="249"/>
      <c r="AB154" s="249"/>
      <c r="AC154" s="249"/>
      <c r="AD154" s="249"/>
      <c r="AE154" s="249"/>
      <c r="AF154" s="249"/>
      <c r="AG154" s="353"/>
      <c r="AH154" s="353"/>
      <c r="AI154" s="353"/>
      <c r="AJ154" s="249"/>
      <c r="AK154" s="249"/>
      <c r="AL154" s="249"/>
      <c r="AQ154" s="249"/>
      <c r="AR154" s="249"/>
      <c r="AS154" s="249"/>
      <c r="AT154" s="249"/>
      <c r="AU154" s="249"/>
      <c r="AV154" s="249"/>
      <c r="AX154" s="249"/>
      <c r="AZ154" s="249"/>
      <c r="BB154" s="249"/>
      <c r="BC154" s="249"/>
      <c r="BD154" s="249"/>
      <c r="CB154" s="249"/>
      <c r="CC154" s="249"/>
      <c r="CD154" s="249"/>
      <c r="CE154" s="249"/>
      <c r="CM154" s="249"/>
      <c r="CN154" s="249"/>
      <c r="CO154" s="249"/>
      <c r="CP154" s="249"/>
    </row>
    <row r="155" spans="3:94">
      <c r="C155" s="287"/>
      <c r="D155" s="347"/>
      <c r="E155" s="347"/>
      <c r="F155" s="347"/>
      <c r="G155" s="347"/>
      <c r="H155" s="347"/>
      <c r="K155" s="249"/>
      <c r="O155" s="249"/>
      <c r="P155" s="347"/>
      <c r="X155" s="249"/>
      <c r="Y155" s="249"/>
      <c r="Z155" s="249"/>
      <c r="AA155" s="249"/>
      <c r="AB155" s="249"/>
      <c r="AC155" s="249"/>
      <c r="AD155" s="249"/>
      <c r="AE155" s="249"/>
      <c r="AF155" s="249"/>
      <c r="AG155" s="353"/>
      <c r="AH155" s="353"/>
      <c r="AI155" s="353"/>
      <c r="AJ155" s="249"/>
      <c r="AK155" s="249"/>
      <c r="AL155" s="249"/>
      <c r="AQ155" s="249"/>
      <c r="AR155" s="249"/>
      <c r="AS155" s="249"/>
      <c r="AT155" s="249"/>
      <c r="AU155" s="249"/>
      <c r="AV155" s="249"/>
      <c r="AX155" s="249"/>
      <c r="AZ155" s="249"/>
      <c r="BB155" s="249"/>
      <c r="BC155" s="249"/>
      <c r="BD155" s="249"/>
      <c r="CB155" s="249"/>
      <c r="CC155" s="249"/>
      <c r="CD155" s="249"/>
      <c r="CE155" s="249"/>
      <c r="CM155" s="249"/>
      <c r="CN155" s="249"/>
      <c r="CO155" s="249"/>
      <c r="CP155" s="249"/>
    </row>
    <row r="156" spans="3:94">
      <c r="C156" s="287"/>
      <c r="D156" s="347"/>
      <c r="E156" s="347"/>
      <c r="F156" s="347"/>
      <c r="G156" s="347"/>
      <c r="H156" s="347"/>
      <c r="K156" s="249"/>
      <c r="O156" s="249"/>
      <c r="P156" s="347"/>
      <c r="X156" s="249"/>
      <c r="Y156" s="249"/>
      <c r="Z156" s="249"/>
      <c r="AA156" s="249"/>
      <c r="AB156" s="249"/>
      <c r="AC156" s="249"/>
      <c r="AD156" s="249"/>
      <c r="AE156" s="249"/>
      <c r="AF156" s="249"/>
      <c r="AG156" s="353"/>
      <c r="AH156" s="353"/>
      <c r="AI156" s="353"/>
      <c r="AJ156" s="249"/>
      <c r="AK156" s="249"/>
      <c r="AL156" s="249"/>
      <c r="AQ156" s="249"/>
      <c r="AR156" s="249"/>
      <c r="AS156" s="249"/>
      <c r="AT156" s="249"/>
      <c r="AU156" s="249"/>
      <c r="AV156" s="249"/>
      <c r="AX156" s="249"/>
      <c r="AZ156" s="249"/>
      <c r="BB156" s="249"/>
      <c r="BC156" s="249"/>
      <c r="BD156" s="249"/>
      <c r="CB156" s="249"/>
      <c r="CC156" s="249"/>
      <c r="CD156" s="249"/>
      <c r="CE156" s="249"/>
      <c r="CM156" s="249"/>
      <c r="CN156" s="249"/>
      <c r="CO156" s="249"/>
      <c r="CP156" s="249"/>
    </row>
    <row r="157" spans="3:94">
      <c r="C157" s="287"/>
      <c r="D157" s="347"/>
      <c r="E157" s="347"/>
      <c r="F157" s="347"/>
      <c r="G157" s="347"/>
      <c r="H157" s="347"/>
      <c r="K157" s="249"/>
      <c r="O157" s="249"/>
      <c r="P157" s="347"/>
      <c r="X157" s="249"/>
      <c r="Y157" s="249"/>
      <c r="Z157" s="249"/>
      <c r="AA157" s="249"/>
      <c r="AB157" s="249"/>
      <c r="AC157" s="249"/>
      <c r="AD157" s="249"/>
      <c r="AE157" s="249"/>
      <c r="AF157" s="249"/>
      <c r="AG157" s="353"/>
      <c r="AH157" s="353"/>
      <c r="AI157" s="353"/>
      <c r="AJ157" s="249"/>
      <c r="AK157" s="249"/>
      <c r="AL157" s="249"/>
      <c r="AQ157" s="249"/>
      <c r="AR157" s="249"/>
      <c r="AS157" s="249"/>
      <c r="AT157" s="249"/>
      <c r="AU157" s="249"/>
      <c r="AV157" s="249"/>
      <c r="AX157" s="249"/>
      <c r="AZ157" s="249"/>
      <c r="BB157" s="249"/>
      <c r="BC157" s="249"/>
      <c r="BD157" s="249"/>
      <c r="CB157" s="249"/>
      <c r="CC157" s="249"/>
      <c r="CD157" s="249"/>
      <c r="CE157" s="249"/>
      <c r="CM157" s="249"/>
      <c r="CN157" s="249"/>
      <c r="CO157" s="249"/>
      <c r="CP157" s="249"/>
    </row>
    <row r="158" spans="3:94">
      <c r="C158" s="287"/>
      <c r="D158" s="347"/>
      <c r="E158" s="347"/>
      <c r="F158" s="347"/>
      <c r="G158" s="347"/>
      <c r="H158" s="347"/>
      <c r="K158" s="249"/>
      <c r="O158" s="249"/>
      <c r="P158" s="347"/>
      <c r="X158" s="249"/>
      <c r="Y158" s="249"/>
      <c r="Z158" s="249"/>
      <c r="AA158" s="249"/>
      <c r="AB158" s="249"/>
      <c r="AC158" s="249"/>
      <c r="AD158" s="249"/>
      <c r="AE158" s="249"/>
      <c r="AF158" s="249"/>
      <c r="AG158" s="353"/>
      <c r="AH158" s="353"/>
      <c r="AI158" s="353"/>
      <c r="AJ158" s="249"/>
      <c r="AK158" s="249"/>
      <c r="AL158" s="249"/>
      <c r="AQ158" s="249"/>
      <c r="AR158" s="249"/>
      <c r="AS158" s="249"/>
      <c r="AT158" s="249"/>
      <c r="AU158" s="249"/>
      <c r="AV158" s="249"/>
      <c r="AX158" s="249"/>
      <c r="AZ158" s="249"/>
      <c r="BB158" s="249"/>
      <c r="BC158" s="249"/>
      <c r="BD158" s="249"/>
      <c r="CB158" s="249"/>
      <c r="CC158" s="249"/>
      <c r="CD158" s="249"/>
      <c r="CE158" s="249"/>
      <c r="CM158" s="249"/>
      <c r="CN158" s="249"/>
      <c r="CO158" s="249"/>
      <c r="CP158" s="249"/>
    </row>
    <row r="159" spans="3:94">
      <c r="C159" s="287"/>
      <c r="D159" s="347"/>
      <c r="E159" s="347"/>
      <c r="F159" s="347"/>
      <c r="G159" s="347"/>
      <c r="H159" s="347"/>
      <c r="K159" s="249"/>
      <c r="O159" s="249"/>
      <c r="P159" s="347"/>
      <c r="X159" s="249"/>
      <c r="Y159" s="249"/>
      <c r="Z159" s="249"/>
      <c r="AA159" s="249"/>
      <c r="AB159" s="249"/>
      <c r="AC159" s="249"/>
      <c r="AD159" s="249"/>
      <c r="AE159" s="249"/>
      <c r="AF159" s="249"/>
      <c r="AG159" s="353"/>
      <c r="AH159" s="353"/>
      <c r="AI159" s="353"/>
      <c r="AJ159" s="249"/>
      <c r="AK159" s="249"/>
      <c r="AL159" s="249"/>
      <c r="AQ159" s="249"/>
      <c r="AR159" s="249"/>
      <c r="AS159" s="249"/>
      <c r="AT159" s="249"/>
      <c r="AU159" s="249"/>
      <c r="AV159" s="249"/>
      <c r="AX159" s="249"/>
      <c r="AZ159" s="249"/>
      <c r="BB159" s="249"/>
      <c r="BC159" s="249"/>
      <c r="BD159" s="249"/>
      <c r="CB159" s="249"/>
      <c r="CC159" s="249"/>
      <c r="CD159" s="249"/>
      <c r="CE159" s="249"/>
      <c r="CM159" s="249"/>
      <c r="CN159" s="249"/>
      <c r="CO159" s="249"/>
      <c r="CP159" s="249"/>
    </row>
    <row r="160" spans="3:94">
      <c r="C160" s="287"/>
      <c r="D160" s="347"/>
      <c r="E160" s="347"/>
      <c r="F160" s="347"/>
      <c r="G160" s="347"/>
      <c r="H160" s="347"/>
      <c r="K160" s="249"/>
      <c r="O160" s="249"/>
      <c r="P160" s="347"/>
      <c r="X160" s="249"/>
      <c r="Y160" s="249"/>
      <c r="Z160" s="249"/>
      <c r="AA160" s="249"/>
      <c r="AB160" s="249"/>
      <c r="AC160" s="249"/>
      <c r="AD160" s="249"/>
      <c r="AE160" s="249"/>
      <c r="AF160" s="249"/>
      <c r="AG160" s="353"/>
      <c r="AH160" s="353"/>
      <c r="AI160" s="353"/>
      <c r="AJ160" s="249"/>
      <c r="AK160" s="249"/>
      <c r="AL160" s="249"/>
      <c r="AQ160" s="249"/>
      <c r="AR160" s="249"/>
      <c r="AS160" s="249"/>
      <c r="AT160" s="249"/>
      <c r="AU160" s="249"/>
      <c r="AV160" s="249"/>
      <c r="AX160" s="249"/>
      <c r="AZ160" s="249"/>
      <c r="BB160" s="249"/>
      <c r="BC160" s="249"/>
      <c r="BD160" s="249"/>
      <c r="CB160" s="249"/>
      <c r="CC160" s="249"/>
      <c r="CD160" s="249"/>
      <c r="CE160" s="249"/>
      <c r="CM160" s="249"/>
      <c r="CN160" s="249"/>
      <c r="CO160" s="249"/>
      <c r="CP160" s="249"/>
    </row>
    <row r="161" spans="3:94">
      <c r="C161" s="287"/>
      <c r="D161" s="347"/>
      <c r="E161" s="347"/>
      <c r="F161" s="347"/>
      <c r="G161" s="347"/>
      <c r="H161" s="347"/>
      <c r="K161" s="249"/>
      <c r="O161" s="249"/>
      <c r="P161" s="347"/>
      <c r="X161" s="249"/>
      <c r="Y161" s="249"/>
      <c r="Z161" s="249"/>
      <c r="AA161" s="249"/>
      <c r="AB161" s="249"/>
      <c r="AC161" s="249"/>
      <c r="AD161" s="249"/>
      <c r="AE161" s="249"/>
      <c r="AF161" s="249"/>
      <c r="AG161" s="353"/>
      <c r="AH161" s="353"/>
      <c r="AI161" s="353"/>
      <c r="AJ161" s="249"/>
      <c r="AK161" s="249"/>
      <c r="AL161" s="249"/>
      <c r="AQ161" s="249"/>
      <c r="AR161" s="249"/>
      <c r="AS161" s="249"/>
      <c r="AT161" s="249"/>
      <c r="AU161" s="249"/>
      <c r="AV161" s="249"/>
      <c r="AX161" s="249"/>
      <c r="AZ161" s="249"/>
      <c r="BB161" s="249"/>
      <c r="BC161" s="249"/>
      <c r="BD161" s="249"/>
      <c r="CB161" s="249"/>
      <c r="CC161" s="249"/>
      <c r="CD161" s="249"/>
      <c r="CE161" s="249"/>
      <c r="CM161" s="249"/>
      <c r="CN161" s="249"/>
      <c r="CO161" s="249"/>
      <c r="CP161" s="249"/>
    </row>
    <row r="162" spans="3:94">
      <c r="C162" s="287"/>
      <c r="D162" s="347"/>
      <c r="E162" s="347"/>
      <c r="F162" s="347"/>
      <c r="G162" s="347"/>
      <c r="H162" s="347"/>
      <c r="K162" s="249"/>
      <c r="O162" s="249"/>
      <c r="P162" s="347"/>
      <c r="X162" s="249"/>
      <c r="Y162" s="249"/>
      <c r="Z162" s="249"/>
      <c r="AA162" s="249"/>
      <c r="AB162" s="249"/>
      <c r="AC162" s="249"/>
      <c r="AD162" s="249"/>
      <c r="AE162" s="249"/>
      <c r="AF162" s="249"/>
      <c r="AG162" s="353"/>
      <c r="AH162" s="353"/>
      <c r="AI162" s="353"/>
      <c r="AJ162" s="249"/>
      <c r="AK162" s="249"/>
      <c r="AL162" s="249"/>
      <c r="AQ162" s="249"/>
      <c r="AR162" s="249"/>
      <c r="AS162" s="249"/>
      <c r="AT162" s="249"/>
      <c r="AU162" s="249"/>
      <c r="AV162" s="249"/>
      <c r="AX162" s="249"/>
      <c r="AZ162" s="249"/>
      <c r="BB162" s="249"/>
      <c r="BC162" s="249"/>
      <c r="BD162" s="249"/>
      <c r="CB162" s="249"/>
      <c r="CC162" s="249"/>
      <c r="CD162" s="249"/>
      <c r="CE162" s="249"/>
      <c r="CM162" s="249"/>
      <c r="CN162" s="249"/>
      <c r="CO162" s="249"/>
      <c r="CP162" s="249"/>
    </row>
    <row r="163" spans="3:94">
      <c r="C163" s="287"/>
      <c r="D163" s="347"/>
      <c r="E163" s="347"/>
      <c r="F163" s="347"/>
      <c r="G163" s="347"/>
      <c r="H163" s="347"/>
      <c r="K163" s="249"/>
      <c r="O163" s="249"/>
      <c r="P163" s="347"/>
      <c r="X163" s="249"/>
      <c r="Y163" s="249"/>
      <c r="Z163" s="249"/>
      <c r="AA163" s="249"/>
      <c r="AB163" s="249"/>
      <c r="AC163" s="249"/>
      <c r="AD163" s="249"/>
      <c r="AE163" s="249"/>
      <c r="AF163" s="249"/>
      <c r="AG163" s="353"/>
      <c r="AH163" s="353"/>
      <c r="AI163" s="353"/>
      <c r="AJ163" s="249"/>
      <c r="AK163" s="249"/>
      <c r="AL163" s="249"/>
      <c r="AQ163" s="249"/>
      <c r="AR163" s="249"/>
      <c r="AS163" s="249"/>
      <c r="AT163" s="249"/>
      <c r="AU163" s="249"/>
      <c r="AV163" s="249"/>
      <c r="AX163" s="249"/>
      <c r="AZ163" s="249"/>
      <c r="BB163" s="249"/>
      <c r="BC163" s="249"/>
      <c r="BD163" s="249"/>
      <c r="CB163" s="249"/>
      <c r="CC163" s="249"/>
      <c r="CD163" s="249"/>
      <c r="CE163" s="249"/>
      <c r="CM163" s="249"/>
      <c r="CN163" s="249"/>
      <c r="CO163" s="249"/>
      <c r="CP163" s="249"/>
    </row>
    <row r="164" spans="3:94">
      <c r="C164" s="287"/>
      <c r="D164" s="347"/>
      <c r="E164" s="347"/>
      <c r="F164" s="347"/>
      <c r="G164" s="347"/>
      <c r="H164" s="347"/>
      <c r="K164" s="249"/>
      <c r="O164" s="249"/>
      <c r="P164" s="347"/>
      <c r="X164" s="249"/>
      <c r="Y164" s="249"/>
      <c r="Z164" s="249"/>
      <c r="AA164" s="249"/>
      <c r="AB164" s="249"/>
      <c r="AC164" s="249"/>
      <c r="AD164" s="249"/>
      <c r="AE164" s="249"/>
      <c r="AF164" s="249"/>
      <c r="AG164" s="353"/>
      <c r="AH164" s="353"/>
      <c r="AI164" s="353"/>
      <c r="AJ164" s="249"/>
      <c r="AK164" s="249"/>
      <c r="AL164" s="249"/>
      <c r="AQ164" s="249"/>
      <c r="AR164" s="249"/>
      <c r="AS164" s="249"/>
      <c r="AT164" s="249"/>
      <c r="AU164" s="249"/>
      <c r="AV164" s="249"/>
      <c r="AX164" s="249"/>
      <c r="AZ164" s="249"/>
      <c r="BB164" s="249"/>
      <c r="BC164" s="249"/>
      <c r="BD164" s="249"/>
      <c r="CB164" s="249"/>
      <c r="CC164" s="249"/>
      <c r="CD164" s="249"/>
      <c r="CE164" s="249"/>
      <c r="CM164" s="249"/>
      <c r="CN164" s="249"/>
      <c r="CO164" s="249"/>
      <c r="CP164" s="249"/>
    </row>
    <row r="165" spans="3:94">
      <c r="C165" s="287"/>
      <c r="D165" s="347"/>
      <c r="E165" s="347"/>
      <c r="F165" s="347"/>
      <c r="G165" s="347"/>
      <c r="H165" s="347"/>
      <c r="K165" s="249"/>
      <c r="O165" s="249"/>
      <c r="P165" s="347"/>
      <c r="X165" s="249"/>
      <c r="Y165" s="249"/>
      <c r="Z165" s="249"/>
      <c r="AA165" s="249"/>
      <c r="AB165" s="249"/>
      <c r="AC165" s="249"/>
      <c r="AD165" s="249"/>
      <c r="AE165" s="249"/>
      <c r="AF165" s="249"/>
      <c r="AG165" s="353"/>
      <c r="AH165" s="353"/>
      <c r="AI165" s="353"/>
      <c r="AJ165" s="249"/>
      <c r="AK165" s="249"/>
      <c r="AL165" s="249"/>
      <c r="AQ165" s="249"/>
      <c r="AR165" s="249"/>
      <c r="AS165" s="249"/>
      <c r="AT165" s="249"/>
      <c r="AU165" s="249"/>
      <c r="AV165" s="249"/>
      <c r="AX165" s="249"/>
      <c r="AZ165" s="249"/>
      <c r="BB165" s="249"/>
      <c r="BC165" s="249"/>
      <c r="BD165" s="249"/>
      <c r="CB165" s="249"/>
      <c r="CC165" s="249"/>
      <c r="CD165" s="249"/>
      <c r="CE165" s="249"/>
      <c r="CM165" s="249"/>
      <c r="CN165" s="249"/>
      <c r="CO165" s="249"/>
      <c r="CP165" s="249"/>
    </row>
    <row r="166" spans="3:94">
      <c r="C166" s="287"/>
      <c r="D166" s="347"/>
      <c r="E166" s="347"/>
      <c r="F166" s="347"/>
      <c r="G166" s="347"/>
      <c r="H166" s="347"/>
      <c r="K166" s="249"/>
      <c r="O166" s="249"/>
      <c r="P166" s="347"/>
      <c r="X166" s="249"/>
      <c r="Y166" s="249"/>
      <c r="Z166" s="249"/>
      <c r="AA166" s="249"/>
      <c r="AB166" s="249"/>
      <c r="AC166" s="249"/>
      <c r="AD166" s="249"/>
      <c r="AE166" s="249"/>
      <c r="AF166" s="249"/>
      <c r="AG166" s="353"/>
      <c r="AH166" s="353"/>
      <c r="AI166" s="353"/>
      <c r="AJ166" s="249"/>
      <c r="AK166" s="249"/>
      <c r="AL166" s="249"/>
      <c r="AQ166" s="249"/>
      <c r="AR166" s="249"/>
      <c r="AS166" s="249"/>
      <c r="AT166" s="249"/>
      <c r="AU166" s="249"/>
      <c r="AV166" s="249"/>
      <c r="AX166" s="249"/>
      <c r="AZ166" s="249"/>
      <c r="BB166" s="249"/>
      <c r="BC166" s="249"/>
      <c r="BD166" s="249"/>
      <c r="CB166" s="249"/>
      <c r="CC166" s="249"/>
      <c r="CD166" s="249"/>
      <c r="CE166" s="249"/>
      <c r="CM166" s="249"/>
      <c r="CN166" s="249"/>
      <c r="CO166" s="249"/>
      <c r="CP166" s="249"/>
    </row>
    <row r="167" spans="3:94">
      <c r="C167" s="287"/>
      <c r="D167" s="347"/>
      <c r="E167" s="347"/>
      <c r="F167" s="347"/>
      <c r="G167" s="347"/>
      <c r="H167" s="347"/>
      <c r="K167" s="249"/>
      <c r="O167" s="249"/>
      <c r="P167" s="347"/>
      <c r="X167" s="249"/>
      <c r="Y167" s="249"/>
      <c r="Z167" s="249"/>
      <c r="AA167" s="249"/>
      <c r="AB167" s="249"/>
      <c r="AC167" s="249"/>
      <c r="AD167" s="249"/>
      <c r="AE167" s="249"/>
      <c r="AF167" s="249"/>
      <c r="AG167" s="353"/>
      <c r="AH167" s="353"/>
      <c r="AI167" s="353"/>
      <c r="AJ167" s="249"/>
      <c r="AK167" s="249"/>
      <c r="AL167" s="249"/>
      <c r="AQ167" s="249"/>
      <c r="AR167" s="249"/>
      <c r="AS167" s="249"/>
      <c r="AT167" s="249"/>
      <c r="AU167" s="249"/>
      <c r="AV167" s="249"/>
      <c r="AX167" s="249"/>
      <c r="AZ167" s="249"/>
      <c r="BB167" s="249"/>
      <c r="BC167" s="249"/>
      <c r="BD167" s="249"/>
      <c r="CB167" s="249"/>
      <c r="CC167" s="249"/>
      <c r="CD167" s="249"/>
      <c r="CE167" s="249"/>
      <c r="CM167" s="249"/>
      <c r="CN167" s="249"/>
      <c r="CO167" s="249"/>
      <c r="CP167" s="249"/>
    </row>
    <row r="168" spans="3:94">
      <c r="C168" s="287"/>
      <c r="D168" s="347"/>
      <c r="E168" s="347"/>
      <c r="F168" s="347"/>
      <c r="G168" s="347"/>
      <c r="H168" s="347"/>
      <c r="K168" s="249"/>
      <c r="O168" s="249"/>
      <c r="P168" s="347"/>
      <c r="X168" s="249"/>
      <c r="Y168" s="249"/>
      <c r="Z168" s="249"/>
      <c r="AA168" s="249"/>
      <c r="AB168" s="249"/>
      <c r="AC168" s="249"/>
      <c r="AD168" s="249"/>
      <c r="AE168" s="249"/>
      <c r="AF168" s="249"/>
      <c r="AG168" s="353"/>
      <c r="AH168" s="353"/>
      <c r="AI168" s="353"/>
      <c r="AJ168" s="249"/>
      <c r="AK168" s="249"/>
      <c r="AL168" s="249"/>
      <c r="AQ168" s="249"/>
      <c r="AR168" s="249"/>
      <c r="AS168" s="249"/>
      <c r="AT168" s="249"/>
      <c r="AU168" s="249"/>
      <c r="AV168" s="249"/>
      <c r="AX168" s="249"/>
      <c r="AZ168" s="249"/>
      <c r="BB168" s="249"/>
      <c r="BC168" s="249"/>
      <c r="BD168" s="249"/>
      <c r="CB168" s="249"/>
      <c r="CC168" s="249"/>
      <c r="CD168" s="249"/>
      <c r="CE168" s="249"/>
      <c r="CM168" s="249"/>
      <c r="CN168" s="249"/>
      <c r="CO168" s="249"/>
      <c r="CP168" s="249"/>
    </row>
    <row r="169" spans="3:94">
      <c r="C169" s="287"/>
      <c r="D169" s="347"/>
      <c r="E169" s="347"/>
      <c r="F169" s="347"/>
      <c r="G169" s="347"/>
      <c r="H169" s="347"/>
      <c r="K169" s="249"/>
      <c r="O169" s="249"/>
      <c r="P169" s="347"/>
      <c r="X169" s="249"/>
      <c r="Y169" s="249"/>
      <c r="Z169" s="249"/>
      <c r="AA169" s="249"/>
      <c r="AB169" s="249"/>
      <c r="AC169" s="249"/>
      <c r="AD169" s="249"/>
      <c r="AE169" s="249"/>
      <c r="AF169" s="249"/>
      <c r="AG169" s="353"/>
      <c r="AH169" s="353"/>
      <c r="AI169" s="353"/>
      <c r="AJ169" s="249"/>
      <c r="AK169" s="249"/>
      <c r="AL169" s="249"/>
      <c r="AQ169" s="249"/>
      <c r="AR169" s="249"/>
      <c r="AS169" s="249"/>
      <c r="AT169" s="249"/>
      <c r="AU169" s="249"/>
      <c r="AV169" s="249"/>
      <c r="AX169" s="249"/>
      <c r="AZ169" s="249"/>
      <c r="BB169" s="249"/>
      <c r="BC169" s="249"/>
      <c r="BD169" s="249"/>
      <c r="CB169" s="249"/>
      <c r="CC169" s="249"/>
      <c r="CD169" s="249"/>
      <c r="CE169" s="249"/>
      <c r="CM169" s="249"/>
      <c r="CN169" s="249"/>
      <c r="CO169" s="249"/>
      <c r="CP169" s="249"/>
    </row>
    <row r="170" spans="3:94">
      <c r="C170" s="287"/>
      <c r="D170" s="347"/>
      <c r="E170" s="347"/>
      <c r="F170" s="347"/>
      <c r="G170" s="347"/>
      <c r="H170" s="347"/>
      <c r="K170" s="249"/>
      <c r="O170" s="249"/>
      <c r="P170" s="347"/>
      <c r="X170" s="249"/>
      <c r="Y170" s="249"/>
      <c r="Z170" s="249"/>
      <c r="AA170" s="249"/>
      <c r="AB170" s="249"/>
      <c r="AC170" s="249"/>
      <c r="AD170" s="249"/>
      <c r="AE170" s="249"/>
      <c r="AF170" s="249"/>
      <c r="AG170" s="353"/>
      <c r="AH170" s="353"/>
      <c r="AI170" s="353"/>
      <c r="AJ170" s="249"/>
      <c r="AK170" s="249"/>
      <c r="AL170" s="249"/>
      <c r="AQ170" s="249"/>
      <c r="AR170" s="249"/>
      <c r="AS170" s="249"/>
      <c r="AT170" s="249"/>
      <c r="AU170" s="249"/>
      <c r="AV170" s="249"/>
      <c r="AX170" s="249"/>
      <c r="AZ170" s="249"/>
      <c r="BB170" s="249"/>
      <c r="BC170" s="249"/>
      <c r="BD170" s="249"/>
      <c r="CB170" s="249"/>
      <c r="CC170" s="249"/>
      <c r="CD170" s="249"/>
      <c r="CE170" s="249"/>
      <c r="CM170" s="249"/>
      <c r="CN170" s="249"/>
      <c r="CO170" s="249"/>
      <c r="CP170" s="249"/>
    </row>
    <row r="171" spans="3:94">
      <c r="C171" s="287"/>
      <c r="D171" s="347"/>
      <c r="E171" s="347"/>
      <c r="F171" s="347"/>
      <c r="G171" s="347"/>
      <c r="H171" s="347"/>
      <c r="K171" s="249"/>
      <c r="O171" s="249"/>
      <c r="P171" s="347"/>
      <c r="X171" s="249"/>
      <c r="Y171" s="249"/>
      <c r="Z171" s="249"/>
      <c r="AA171" s="249"/>
      <c r="AB171" s="249"/>
      <c r="AC171" s="249"/>
      <c r="AD171" s="249"/>
      <c r="AE171" s="249"/>
      <c r="AF171" s="249"/>
      <c r="AG171" s="353"/>
      <c r="AH171" s="353"/>
      <c r="AI171" s="353"/>
      <c r="AJ171" s="249"/>
      <c r="AK171" s="249"/>
      <c r="AL171" s="249"/>
      <c r="AQ171" s="249"/>
      <c r="AR171" s="249"/>
      <c r="AS171" s="249"/>
      <c r="AT171" s="249"/>
      <c r="AU171" s="249"/>
      <c r="AV171" s="249"/>
      <c r="AX171" s="249"/>
      <c r="AZ171" s="249"/>
      <c r="BB171" s="249"/>
      <c r="BC171" s="249"/>
      <c r="BD171" s="249"/>
      <c r="CB171" s="249"/>
      <c r="CC171" s="249"/>
      <c r="CD171" s="249"/>
      <c r="CE171" s="249"/>
      <c r="CM171" s="249"/>
      <c r="CN171" s="249"/>
      <c r="CO171" s="249"/>
      <c r="CP171" s="249"/>
    </row>
    <row r="172" spans="3:94">
      <c r="C172" s="287"/>
      <c r="D172" s="347"/>
      <c r="E172" s="347"/>
      <c r="F172" s="347"/>
      <c r="G172" s="347"/>
      <c r="H172" s="347"/>
      <c r="K172" s="249"/>
      <c r="O172" s="249"/>
      <c r="P172" s="347"/>
      <c r="X172" s="249"/>
      <c r="Y172" s="249"/>
      <c r="Z172" s="249"/>
      <c r="AA172" s="249"/>
      <c r="AB172" s="249"/>
      <c r="AC172" s="249"/>
      <c r="AD172" s="249"/>
      <c r="AE172" s="249"/>
      <c r="AF172" s="249"/>
      <c r="AG172" s="353"/>
      <c r="AH172" s="353"/>
      <c r="AI172" s="353"/>
      <c r="AJ172" s="249"/>
      <c r="AK172" s="249"/>
      <c r="AL172" s="249"/>
      <c r="AQ172" s="249"/>
      <c r="AR172" s="249"/>
      <c r="AS172" s="249"/>
      <c r="AT172" s="249"/>
      <c r="AU172" s="249"/>
      <c r="AV172" s="249"/>
      <c r="AX172" s="249"/>
      <c r="AZ172" s="249"/>
      <c r="BB172" s="249"/>
      <c r="BC172" s="249"/>
      <c r="BD172" s="249"/>
      <c r="CB172" s="249"/>
      <c r="CC172" s="249"/>
      <c r="CD172" s="249"/>
      <c r="CE172" s="249"/>
      <c r="CM172" s="249"/>
      <c r="CN172" s="249"/>
      <c r="CO172" s="249"/>
      <c r="CP172" s="249"/>
    </row>
    <row r="173" spans="3:94">
      <c r="C173" s="287"/>
      <c r="D173" s="347"/>
      <c r="E173" s="347"/>
      <c r="F173" s="347"/>
      <c r="G173" s="347"/>
      <c r="H173" s="347"/>
      <c r="K173" s="249"/>
      <c r="O173" s="249"/>
      <c r="P173" s="347"/>
      <c r="X173" s="249"/>
      <c r="Y173" s="249"/>
      <c r="Z173" s="249"/>
      <c r="AA173" s="249"/>
      <c r="AB173" s="249"/>
      <c r="AC173" s="249"/>
      <c r="AD173" s="249"/>
      <c r="AE173" s="249"/>
      <c r="AF173" s="249"/>
      <c r="AG173" s="353"/>
      <c r="AH173" s="353"/>
      <c r="AI173" s="353"/>
      <c r="AJ173" s="249"/>
      <c r="AK173" s="249"/>
      <c r="AL173" s="249"/>
      <c r="AQ173" s="249"/>
      <c r="AR173" s="249"/>
      <c r="AS173" s="249"/>
      <c r="AT173" s="249"/>
      <c r="AU173" s="249"/>
      <c r="AV173" s="249"/>
      <c r="AX173" s="249"/>
      <c r="AZ173" s="249"/>
      <c r="BB173" s="249"/>
      <c r="BC173" s="249"/>
      <c r="BD173" s="249"/>
      <c r="CB173" s="249"/>
      <c r="CC173" s="249"/>
      <c r="CD173" s="249"/>
      <c r="CE173" s="249"/>
      <c r="CM173" s="249"/>
      <c r="CN173" s="249"/>
      <c r="CO173" s="249"/>
      <c r="CP173" s="249"/>
    </row>
    <row r="174" spans="3:94">
      <c r="C174" s="287"/>
      <c r="D174" s="347"/>
      <c r="E174" s="347"/>
      <c r="F174" s="347"/>
      <c r="G174" s="347"/>
      <c r="H174" s="347"/>
      <c r="K174" s="249"/>
      <c r="O174" s="249"/>
      <c r="P174" s="347"/>
      <c r="X174" s="249"/>
      <c r="Y174" s="249"/>
      <c r="Z174" s="249"/>
      <c r="AA174" s="249"/>
      <c r="AB174" s="249"/>
      <c r="AC174" s="249"/>
      <c r="AD174" s="249"/>
      <c r="AE174" s="249"/>
      <c r="AF174" s="249"/>
      <c r="AG174" s="353"/>
      <c r="AH174" s="353"/>
      <c r="AI174" s="353"/>
      <c r="AJ174" s="249"/>
      <c r="AK174" s="249"/>
      <c r="AL174" s="249"/>
      <c r="AQ174" s="249"/>
      <c r="AR174" s="249"/>
      <c r="AS174" s="249"/>
      <c r="AT174" s="249"/>
      <c r="AU174" s="249"/>
      <c r="AV174" s="249"/>
      <c r="AX174" s="249"/>
      <c r="AZ174" s="249"/>
      <c r="BB174" s="249"/>
      <c r="BC174" s="249"/>
      <c r="BD174" s="249"/>
      <c r="CB174" s="249"/>
      <c r="CC174" s="249"/>
      <c r="CD174" s="249"/>
      <c r="CE174" s="249"/>
      <c r="CM174" s="249"/>
      <c r="CN174" s="249"/>
      <c r="CO174" s="249"/>
      <c r="CP174" s="249"/>
    </row>
    <row r="175" spans="3:94">
      <c r="C175" s="287"/>
      <c r="D175" s="347"/>
      <c r="E175" s="347"/>
      <c r="F175" s="347"/>
      <c r="G175" s="347"/>
      <c r="H175" s="347"/>
      <c r="K175" s="249"/>
      <c r="O175" s="249"/>
      <c r="P175" s="347"/>
      <c r="X175" s="249"/>
      <c r="Y175" s="249"/>
      <c r="Z175" s="249"/>
      <c r="AA175" s="249"/>
      <c r="AB175" s="249"/>
      <c r="AC175" s="249"/>
      <c r="AD175" s="249"/>
      <c r="AE175" s="249"/>
      <c r="AF175" s="249"/>
      <c r="AG175" s="353"/>
      <c r="AH175" s="353"/>
      <c r="AI175" s="353"/>
      <c r="AJ175" s="249"/>
      <c r="AK175" s="249"/>
      <c r="AL175" s="249"/>
      <c r="AQ175" s="249"/>
      <c r="AR175" s="249"/>
      <c r="AS175" s="249"/>
      <c r="AT175" s="249"/>
      <c r="AU175" s="249"/>
      <c r="AV175" s="249"/>
      <c r="AX175" s="249"/>
      <c r="AZ175" s="249"/>
      <c r="BB175" s="249"/>
      <c r="BC175" s="249"/>
      <c r="BD175" s="249"/>
      <c r="CB175" s="249"/>
      <c r="CC175" s="249"/>
      <c r="CD175" s="249"/>
      <c r="CE175" s="249"/>
      <c r="CM175" s="249"/>
      <c r="CN175" s="249"/>
      <c r="CO175" s="249"/>
      <c r="CP175" s="249"/>
    </row>
    <row r="176" spans="3:94">
      <c r="C176" s="287"/>
      <c r="D176" s="347"/>
      <c r="E176" s="347"/>
      <c r="F176" s="347"/>
      <c r="G176" s="347"/>
      <c r="H176" s="347"/>
      <c r="K176" s="249"/>
      <c r="O176" s="249"/>
      <c r="P176" s="347"/>
      <c r="X176" s="249"/>
      <c r="Y176" s="249"/>
      <c r="Z176" s="249"/>
      <c r="AA176" s="249"/>
      <c r="AB176" s="249"/>
      <c r="AC176" s="249"/>
      <c r="AD176" s="249"/>
      <c r="AE176" s="249"/>
      <c r="AF176" s="249"/>
      <c r="AG176" s="353"/>
      <c r="AH176" s="353"/>
      <c r="AI176" s="353"/>
      <c r="AJ176" s="249"/>
      <c r="AK176" s="249"/>
      <c r="AL176" s="249"/>
      <c r="AQ176" s="249"/>
      <c r="AR176" s="249"/>
      <c r="AS176" s="249"/>
      <c r="AT176" s="249"/>
      <c r="AU176" s="249"/>
      <c r="AV176" s="249"/>
      <c r="AX176" s="249"/>
      <c r="AZ176" s="249"/>
      <c r="BB176" s="249"/>
      <c r="BC176" s="249"/>
      <c r="BD176" s="249"/>
      <c r="CB176" s="249"/>
      <c r="CC176" s="249"/>
      <c r="CD176" s="249"/>
      <c r="CE176" s="249"/>
      <c r="CM176" s="249"/>
      <c r="CN176" s="249"/>
      <c r="CO176" s="249"/>
      <c r="CP176" s="249"/>
    </row>
    <row r="177" spans="3:94">
      <c r="C177" s="287"/>
      <c r="D177" s="347"/>
      <c r="E177" s="347"/>
      <c r="F177" s="347"/>
      <c r="G177" s="347"/>
      <c r="H177" s="347"/>
      <c r="K177" s="249"/>
      <c r="O177" s="249"/>
      <c r="P177" s="347"/>
      <c r="X177" s="249"/>
      <c r="Y177" s="249"/>
      <c r="Z177" s="249"/>
      <c r="AA177" s="249"/>
      <c r="AB177" s="249"/>
      <c r="AC177" s="249"/>
      <c r="AD177" s="249"/>
      <c r="AE177" s="249"/>
      <c r="AF177" s="249"/>
      <c r="AG177" s="353"/>
      <c r="AH177" s="353"/>
      <c r="AI177" s="353"/>
      <c r="AJ177" s="249"/>
      <c r="AK177" s="249"/>
      <c r="AL177" s="249"/>
      <c r="AQ177" s="249"/>
      <c r="AR177" s="249"/>
      <c r="AS177" s="249"/>
      <c r="AT177" s="249"/>
      <c r="AU177" s="249"/>
      <c r="AV177" s="249"/>
      <c r="AX177" s="249"/>
      <c r="AZ177" s="249"/>
      <c r="BB177" s="249"/>
      <c r="BC177" s="249"/>
      <c r="BD177" s="249"/>
      <c r="CB177" s="249"/>
      <c r="CC177" s="249"/>
      <c r="CD177" s="249"/>
      <c r="CE177" s="249"/>
      <c r="CM177" s="249"/>
      <c r="CN177" s="249"/>
      <c r="CO177" s="249"/>
      <c r="CP177" s="249"/>
    </row>
    <row r="178" spans="3:94">
      <c r="C178" s="287"/>
      <c r="D178" s="347"/>
      <c r="E178" s="347"/>
      <c r="F178" s="347"/>
      <c r="G178" s="347"/>
      <c r="H178" s="347"/>
      <c r="K178" s="249"/>
      <c r="O178" s="249"/>
      <c r="P178" s="347"/>
      <c r="X178" s="249"/>
      <c r="Y178" s="249"/>
      <c r="Z178" s="249"/>
      <c r="AA178" s="249"/>
      <c r="AB178" s="249"/>
      <c r="AC178" s="249"/>
      <c r="AD178" s="249"/>
      <c r="AE178" s="249"/>
      <c r="AF178" s="249"/>
      <c r="AG178" s="353"/>
      <c r="AH178" s="353"/>
      <c r="AI178" s="353"/>
      <c r="AJ178" s="249"/>
      <c r="AK178" s="249"/>
      <c r="AL178" s="249"/>
      <c r="AQ178" s="249"/>
      <c r="AR178" s="249"/>
      <c r="AS178" s="249"/>
      <c r="AT178" s="249"/>
      <c r="AU178" s="249"/>
      <c r="AV178" s="249"/>
      <c r="AX178" s="249"/>
      <c r="AZ178" s="249"/>
      <c r="BB178" s="249"/>
      <c r="BC178" s="249"/>
      <c r="BD178" s="249"/>
      <c r="CB178" s="249"/>
      <c r="CC178" s="249"/>
      <c r="CD178" s="249"/>
      <c r="CE178" s="249"/>
      <c r="CM178" s="249"/>
      <c r="CN178" s="249"/>
      <c r="CO178" s="249"/>
      <c r="CP178" s="249"/>
    </row>
    <row r="179" spans="3:94">
      <c r="C179" s="287"/>
      <c r="D179" s="347"/>
      <c r="E179" s="347"/>
      <c r="F179" s="347"/>
      <c r="G179" s="347"/>
      <c r="H179" s="347"/>
      <c r="K179" s="249"/>
      <c r="O179" s="249"/>
      <c r="P179" s="347"/>
      <c r="X179" s="249"/>
      <c r="Y179" s="249"/>
      <c r="Z179" s="249"/>
      <c r="AA179" s="249"/>
      <c r="AB179" s="249"/>
      <c r="AC179" s="249"/>
      <c r="AD179" s="249"/>
      <c r="AE179" s="249"/>
      <c r="AF179" s="249"/>
      <c r="AG179" s="353"/>
      <c r="AH179" s="353"/>
      <c r="AI179" s="353"/>
      <c r="AJ179" s="249"/>
      <c r="AK179" s="249"/>
      <c r="AL179" s="249"/>
      <c r="AQ179" s="249"/>
      <c r="AR179" s="249"/>
      <c r="AS179" s="249"/>
      <c r="AT179" s="249"/>
      <c r="AU179" s="249"/>
      <c r="AV179" s="249"/>
      <c r="AX179" s="249"/>
      <c r="AZ179" s="249"/>
      <c r="BB179" s="249"/>
      <c r="BC179" s="249"/>
      <c r="BD179" s="249"/>
      <c r="CB179" s="249"/>
      <c r="CC179" s="249"/>
      <c r="CD179" s="249"/>
      <c r="CE179" s="249"/>
      <c r="CM179" s="249"/>
      <c r="CN179" s="249"/>
      <c r="CO179" s="249"/>
      <c r="CP179" s="249"/>
    </row>
    <row r="180" spans="3:94">
      <c r="C180" s="287"/>
      <c r="D180" s="347"/>
      <c r="E180" s="347"/>
      <c r="F180" s="347"/>
      <c r="G180" s="347"/>
      <c r="H180" s="347"/>
      <c r="K180" s="249"/>
      <c r="O180" s="249"/>
      <c r="P180" s="347"/>
      <c r="X180" s="249"/>
      <c r="Y180" s="249"/>
      <c r="Z180" s="249"/>
      <c r="AA180" s="249"/>
      <c r="AB180" s="249"/>
      <c r="AC180" s="249"/>
      <c r="AD180" s="249"/>
      <c r="AE180" s="249"/>
      <c r="AF180" s="249"/>
      <c r="AG180" s="353"/>
      <c r="AH180" s="353"/>
      <c r="AI180" s="353"/>
      <c r="AJ180" s="249"/>
      <c r="AK180" s="249"/>
      <c r="AL180" s="249"/>
      <c r="AQ180" s="249"/>
      <c r="AR180" s="249"/>
      <c r="AS180" s="249"/>
      <c r="AT180" s="249"/>
      <c r="AU180" s="249"/>
      <c r="AV180" s="249"/>
      <c r="AX180" s="249"/>
      <c r="AZ180" s="249"/>
      <c r="BB180" s="249"/>
      <c r="BC180" s="249"/>
      <c r="BD180" s="249"/>
      <c r="CB180" s="249"/>
      <c r="CC180" s="249"/>
      <c r="CD180" s="249"/>
      <c r="CE180" s="249"/>
      <c r="CM180" s="249"/>
      <c r="CN180" s="249"/>
      <c r="CO180" s="249"/>
      <c r="CP180" s="249"/>
    </row>
    <row r="181" spans="3:94">
      <c r="C181" s="287"/>
      <c r="D181" s="347"/>
      <c r="E181" s="347"/>
      <c r="F181" s="347"/>
      <c r="G181" s="347"/>
      <c r="H181" s="347"/>
      <c r="K181" s="249"/>
      <c r="O181" s="249"/>
      <c r="P181" s="347"/>
      <c r="X181" s="249"/>
      <c r="Y181" s="249"/>
      <c r="Z181" s="249"/>
      <c r="AA181" s="249"/>
      <c r="AB181" s="249"/>
      <c r="AC181" s="249"/>
      <c r="AD181" s="249"/>
      <c r="AE181" s="249"/>
      <c r="AF181" s="249"/>
      <c r="AG181" s="353"/>
      <c r="AH181" s="353"/>
      <c r="AI181" s="353"/>
      <c r="AJ181" s="249"/>
      <c r="AK181" s="249"/>
      <c r="AL181" s="249"/>
      <c r="AQ181" s="249"/>
      <c r="AR181" s="249"/>
      <c r="AS181" s="249"/>
      <c r="AT181" s="249"/>
      <c r="AU181" s="249"/>
      <c r="AV181" s="249"/>
      <c r="AX181" s="249"/>
      <c r="AZ181" s="249"/>
      <c r="BB181" s="249"/>
      <c r="BC181" s="249"/>
      <c r="BD181" s="249"/>
      <c r="CB181" s="249"/>
      <c r="CC181" s="249"/>
      <c r="CD181" s="249"/>
      <c r="CE181" s="249"/>
      <c r="CM181" s="249"/>
      <c r="CN181" s="249"/>
      <c r="CO181" s="249"/>
      <c r="CP181" s="249"/>
    </row>
    <row r="182" spans="3:94">
      <c r="C182" s="287"/>
      <c r="D182" s="347"/>
      <c r="E182" s="347"/>
      <c r="F182" s="347"/>
      <c r="G182" s="347"/>
      <c r="H182" s="347"/>
      <c r="K182" s="249"/>
      <c r="O182" s="249"/>
      <c r="P182" s="347"/>
      <c r="X182" s="249"/>
      <c r="Y182" s="249"/>
      <c r="Z182" s="249"/>
      <c r="AA182" s="249"/>
      <c r="AB182" s="249"/>
      <c r="AC182" s="249"/>
      <c r="AD182" s="249"/>
      <c r="AE182" s="249"/>
      <c r="AF182" s="249"/>
      <c r="AG182" s="353"/>
      <c r="AH182" s="353"/>
      <c r="AI182" s="353"/>
      <c r="AJ182" s="249"/>
      <c r="AK182" s="249"/>
      <c r="AL182" s="249"/>
      <c r="AQ182" s="249"/>
      <c r="AR182" s="249"/>
      <c r="AS182" s="249"/>
      <c r="AT182" s="249"/>
      <c r="AU182" s="249"/>
      <c r="AV182" s="249"/>
      <c r="AX182" s="249"/>
      <c r="AZ182" s="249"/>
      <c r="BB182" s="249"/>
      <c r="BC182" s="249"/>
      <c r="BD182" s="249"/>
      <c r="CB182" s="249"/>
      <c r="CC182" s="249"/>
      <c r="CD182" s="249"/>
      <c r="CE182" s="249"/>
      <c r="CM182" s="249"/>
      <c r="CN182" s="249"/>
      <c r="CO182" s="249"/>
      <c r="CP182" s="249"/>
    </row>
    <row r="183" spans="3:94">
      <c r="C183" s="287"/>
      <c r="D183" s="347"/>
      <c r="E183" s="347"/>
      <c r="F183" s="347"/>
      <c r="G183" s="347"/>
      <c r="H183" s="347"/>
      <c r="K183" s="249"/>
      <c r="O183" s="249"/>
      <c r="P183" s="347"/>
      <c r="X183" s="249"/>
      <c r="Y183" s="249"/>
      <c r="Z183" s="249"/>
      <c r="AA183" s="249"/>
      <c r="AB183" s="249"/>
      <c r="AC183" s="249"/>
      <c r="AD183" s="249"/>
      <c r="AE183" s="249"/>
      <c r="AF183" s="249"/>
      <c r="AG183" s="353"/>
      <c r="AH183" s="353"/>
      <c r="AI183" s="353"/>
      <c r="AJ183" s="249"/>
      <c r="AK183" s="249"/>
      <c r="AL183" s="249"/>
      <c r="AQ183" s="249"/>
      <c r="AR183" s="249"/>
      <c r="AS183" s="249"/>
      <c r="AT183" s="249"/>
      <c r="AU183" s="249"/>
      <c r="AV183" s="249"/>
      <c r="AX183" s="249"/>
      <c r="AZ183" s="249"/>
      <c r="BB183" s="249"/>
      <c r="BC183" s="249"/>
      <c r="BD183" s="249"/>
      <c r="CB183" s="249"/>
      <c r="CC183" s="249"/>
      <c r="CD183" s="249"/>
      <c r="CE183" s="249"/>
      <c r="CM183" s="249"/>
      <c r="CN183" s="249"/>
      <c r="CO183" s="249"/>
      <c r="CP183" s="249"/>
    </row>
    <row r="184" spans="3:94">
      <c r="C184" s="287"/>
      <c r="D184" s="347"/>
      <c r="E184" s="347"/>
      <c r="F184" s="347"/>
      <c r="G184" s="347"/>
      <c r="H184" s="347"/>
      <c r="K184" s="249"/>
      <c r="O184" s="249"/>
      <c r="P184" s="347"/>
      <c r="X184" s="249"/>
      <c r="Y184" s="249"/>
      <c r="Z184" s="249"/>
      <c r="AA184" s="249"/>
      <c r="AB184" s="249"/>
      <c r="AC184" s="249"/>
      <c r="AD184" s="249"/>
      <c r="AE184" s="249"/>
      <c r="AF184" s="249"/>
      <c r="AG184" s="353"/>
      <c r="AH184" s="353"/>
      <c r="AI184" s="353"/>
      <c r="AJ184" s="249"/>
      <c r="AK184" s="249"/>
      <c r="AL184" s="249"/>
      <c r="AQ184" s="249"/>
      <c r="AR184" s="249"/>
      <c r="AS184" s="249"/>
      <c r="AT184" s="249"/>
      <c r="AU184" s="249"/>
      <c r="AV184" s="249"/>
      <c r="AX184" s="249"/>
      <c r="AZ184" s="249"/>
      <c r="BB184" s="249"/>
      <c r="BC184" s="249"/>
      <c r="BD184" s="249"/>
      <c r="CB184" s="249"/>
      <c r="CC184" s="249"/>
      <c r="CD184" s="249"/>
      <c r="CE184" s="249"/>
      <c r="CM184" s="249"/>
      <c r="CN184" s="249"/>
      <c r="CO184" s="249"/>
      <c r="CP184" s="249"/>
    </row>
    <row r="185" spans="3:94">
      <c r="C185" s="287"/>
      <c r="D185" s="347"/>
      <c r="E185" s="347"/>
      <c r="F185" s="347"/>
      <c r="G185" s="347"/>
      <c r="H185" s="347"/>
      <c r="K185" s="249"/>
      <c r="O185" s="249"/>
      <c r="P185" s="347"/>
      <c r="X185" s="249"/>
      <c r="Y185" s="249"/>
      <c r="Z185" s="249"/>
      <c r="AA185" s="249"/>
      <c r="AB185" s="249"/>
      <c r="AC185" s="249"/>
      <c r="AD185" s="249"/>
      <c r="AE185" s="249"/>
      <c r="AF185" s="249"/>
      <c r="AG185" s="353"/>
      <c r="AH185" s="353"/>
      <c r="AI185" s="353"/>
      <c r="AJ185" s="249"/>
      <c r="AK185" s="249"/>
      <c r="AL185" s="249"/>
      <c r="AQ185" s="249"/>
      <c r="AR185" s="249"/>
      <c r="AS185" s="249"/>
      <c r="AT185" s="249"/>
      <c r="AU185" s="249"/>
      <c r="AV185" s="249"/>
      <c r="AX185" s="249"/>
      <c r="AZ185" s="249"/>
      <c r="BB185" s="249"/>
      <c r="BC185" s="249"/>
      <c r="BD185" s="249"/>
      <c r="CB185" s="249"/>
      <c r="CC185" s="249"/>
      <c r="CD185" s="249"/>
      <c r="CE185" s="249"/>
      <c r="CM185" s="249"/>
      <c r="CN185" s="249"/>
      <c r="CO185" s="249"/>
      <c r="CP185" s="249"/>
    </row>
    <row r="186" spans="3:94">
      <c r="C186" s="287"/>
      <c r="D186" s="347"/>
      <c r="E186" s="347"/>
      <c r="F186" s="347"/>
      <c r="G186" s="347"/>
      <c r="H186" s="347"/>
      <c r="K186" s="249"/>
      <c r="O186" s="249"/>
      <c r="P186" s="347"/>
      <c r="X186" s="249"/>
      <c r="Y186" s="249"/>
      <c r="Z186" s="249"/>
      <c r="AA186" s="249"/>
      <c r="AB186" s="249"/>
      <c r="AC186" s="249"/>
      <c r="AD186" s="249"/>
      <c r="AE186" s="249"/>
      <c r="AF186" s="249"/>
      <c r="AG186" s="353"/>
      <c r="AH186" s="353"/>
      <c r="AI186" s="353"/>
      <c r="AJ186" s="249"/>
      <c r="AK186" s="249"/>
      <c r="AL186" s="249"/>
      <c r="AQ186" s="249"/>
      <c r="AR186" s="249"/>
      <c r="AS186" s="249"/>
      <c r="AT186" s="249"/>
      <c r="AU186" s="249"/>
      <c r="AV186" s="249"/>
      <c r="AX186" s="249"/>
      <c r="AZ186" s="249"/>
      <c r="BB186" s="249"/>
      <c r="BC186" s="249"/>
      <c r="BD186" s="249"/>
      <c r="CB186" s="249"/>
      <c r="CC186" s="249"/>
      <c r="CD186" s="249"/>
      <c r="CE186" s="249"/>
      <c r="CM186" s="249"/>
      <c r="CN186" s="249"/>
      <c r="CO186" s="249"/>
      <c r="CP186" s="249"/>
    </row>
    <row r="187" spans="3:94">
      <c r="C187" s="287"/>
      <c r="D187" s="347"/>
      <c r="E187" s="347"/>
      <c r="F187" s="347"/>
      <c r="G187" s="347"/>
      <c r="H187" s="347"/>
      <c r="K187" s="249"/>
      <c r="O187" s="249"/>
      <c r="P187" s="347"/>
      <c r="X187" s="249"/>
      <c r="Y187" s="249"/>
      <c r="Z187" s="249"/>
      <c r="AA187" s="249"/>
      <c r="AB187" s="249"/>
      <c r="AC187" s="249"/>
      <c r="AD187" s="249"/>
      <c r="AE187" s="249"/>
      <c r="AF187" s="249"/>
      <c r="AG187" s="353"/>
      <c r="AH187" s="353"/>
      <c r="AI187" s="353"/>
      <c r="AJ187" s="249"/>
      <c r="AK187" s="249"/>
      <c r="AL187" s="249"/>
      <c r="AQ187" s="249"/>
      <c r="AR187" s="249"/>
      <c r="AS187" s="249"/>
      <c r="AT187" s="249"/>
      <c r="AU187" s="249"/>
      <c r="AV187" s="249"/>
      <c r="AX187" s="249"/>
      <c r="AZ187" s="249"/>
      <c r="BB187" s="249"/>
      <c r="BC187" s="249"/>
      <c r="BD187" s="249"/>
      <c r="CB187" s="249"/>
      <c r="CC187" s="249"/>
      <c r="CD187" s="249"/>
      <c r="CE187" s="249"/>
      <c r="CM187" s="249"/>
      <c r="CN187" s="249"/>
      <c r="CO187" s="249"/>
      <c r="CP187" s="249"/>
    </row>
    <row r="188" spans="3:94">
      <c r="C188" s="287"/>
      <c r="D188" s="347"/>
      <c r="E188" s="347"/>
      <c r="F188" s="347"/>
      <c r="G188" s="347"/>
      <c r="H188" s="347"/>
      <c r="K188" s="249"/>
      <c r="O188" s="249"/>
      <c r="P188" s="347"/>
      <c r="X188" s="249"/>
      <c r="Y188" s="249"/>
      <c r="Z188" s="249"/>
      <c r="AA188" s="249"/>
      <c r="AB188" s="249"/>
      <c r="AC188" s="249"/>
      <c r="AD188" s="249"/>
      <c r="AE188" s="249"/>
      <c r="AF188" s="249"/>
      <c r="AG188" s="353"/>
      <c r="AH188" s="353"/>
      <c r="AI188" s="353"/>
      <c r="AJ188" s="249"/>
      <c r="AK188" s="249"/>
      <c r="AL188" s="249"/>
      <c r="AQ188" s="249"/>
      <c r="AR188" s="249"/>
      <c r="AS188" s="249"/>
      <c r="AT188" s="249"/>
      <c r="AU188" s="249"/>
      <c r="AV188" s="249"/>
      <c r="AX188" s="249"/>
      <c r="AZ188" s="249"/>
      <c r="BB188" s="249"/>
      <c r="BC188" s="249"/>
      <c r="BD188" s="249"/>
      <c r="CB188" s="249"/>
      <c r="CC188" s="249"/>
      <c r="CD188" s="249"/>
      <c r="CE188" s="249"/>
      <c r="CM188" s="249"/>
      <c r="CN188" s="249"/>
      <c r="CO188" s="249"/>
      <c r="CP188" s="249"/>
    </row>
    <row r="189" spans="3:94">
      <c r="C189" s="287"/>
      <c r="D189" s="347"/>
      <c r="E189" s="347"/>
      <c r="F189" s="347"/>
      <c r="G189" s="347"/>
      <c r="H189" s="347"/>
      <c r="K189" s="249"/>
      <c r="O189" s="249"/>
      <c r="P189" s="347"/>
      <c r="X189" s="249"/>
      <c r="Y189" s="249"/>
      <c r="Z189" s="249"/>
      <c r="AA189" s="249"/>
      <c r="AB189" s="249"/>
      <c r="AC189" s="249"/>
      <c r="AD189" s="249"/>
      <c r="AE189" s="249"/>
      <c r="AF189" s="249"/>
      <c r="AG189" s="353"/>
      <c r="AH189" s="353"/>
      <c r="AI189" s="353"/>
      <c r="AJ189" s="249"/>
      <c r="AK189" s="249"/>
      <c r="AL189" s="249"/>
      <c r="AQ189" s="249"/>
      <c r="AR189" s="249"/>
      <c r="AS189" s="249"/>
      <c r="AT189" s="249"/>
      <c r="AU189" s="249"/>
      <c r="AV189" s="249"/>
      <c r="AX189" s="249"/>
      <c r="AZ189" s="249"/>
      <c r="BB189" s="249"/>
      <c r="BC189" s="249"/>
      <c r="BD189" s="249"/>
      <c r="CB189" s="249"/>
      <c r="CC189" s="249"/>
      <c r="CD189" s="249"/>
      <c r="CE189" s="249"/>
      <c r="CM189" s="249"/>
      <c r="CN189" s="249"/>
      <c r="CO189" s="249"/>
      <c r="CP189" s="249"/>
    </row>
    <row r="190" spans="3:94">
      <c r="C190" s="287"/>
      <c r="D190" s="347"/>
      <c r="E190" s="347"/>
      <c r="F190" s="347"/>
      <c r="G190" s="347"/>
      <c r="H190" s="347"/>
      <c r="K190" s="249"/>
      <c r="O190" s="249"/>
      <c r="P190" s="347"/>
      <c r="X190" s="249"/>
      <c r="Y190" s="249"/>
      <c r="Z190" s="249"/>
      <c r="AA190" s="249"/>
      <c r="AB190" s="249"/>
      <c r="AC190" s="249"/>
      <c r="AD190" s="249"/>
      <c r="AE190" s="249"/>
      <c r="AF190" s="249"/>
      <c r="AG190" s="353"/>
      <c r="AH190" s="353"/>
      <c r="AI190" s="353"/>
      <c r="AJ190" s="249"/>
      <c r="AK190" s="249"/>
      <c r="AL190" s="249"/>
      <c r="AQ190" s="249"/>
      <c r="AR190" s="249"/>
      <c r="AS190" s="249"/>
      <c r="AT190" s="249"/>
      <c r="AU190" s="249"/>
      <c r="AV190" s="249"/>
      <c r="AX190" s="249"/>
      <c r="AZ190" s="249"/>
      <c r="BB190" s="249"/>
      <c r="BC190" s="249"/>
      <c r="BD190" s="249"/>
      <c r="CB190" s="249"/>
      <c r="CC190" s="249"/>
      <c r="CD190" s="249"/>
      <c r="CE190" s="249"/>
      <c r="CM190" s="249"/>
      <c r="CN190" s="249"/>
      <c r="CO190" s="249"/>
      <c r="CP190" s="249"/>
    </row>
    <row r="191" spans="3:94">
      <c r="C191" s="287"/>
      <c r="D191" s="347"/>
      <c r="E191" s="347"/>
      <c r="F191" s="347"/>
      <c r="G191" s="347"/>
      <c r="H191" s="347"/>
      <c r="K191" s="249"/>
      <c r="O191" s="249"/>
      <c r="P191" s="347"/>
      <c r="X191" s="249"/>
      <c r="Y191" s="249"/>
      <c r="Z191" s="249"/>
      <c r="AA191" s="249"/>
      <c r="AB191" s="249"/>
      <c r="AC191" s="249"/>
      <c r="AD191" s="249"/>
      <c r="AE191" s="249"/>
      <c r="AF191" s="249"/>
      <c r="AG191" s="353"/>
      <c r="AH191" s="353"/>
      <c r="AI191" s="353"/>
      <c r="AJ191" s="249"/>
      <c r="AK191" s="249"/>
      <c r="AL191" s="249"/>
      <c r="AQ191" s="249"/>
      <c r="AR191" s="249"/>
      <c r="AS191" s="249"/>
      <c r="AT191" s="249"/>
      <c r="AU191" s="249"/>
      <c r="AV191" s="249"/>
      <c r="AX191" s="249"/>
      <c r="AZ191" s="249"/>
      <c r="BB191" s="249"/>
      <c r="BC191" s="249"/>
      <c r="BD191" s="249"/>
      <c r="CB191" s="249"/>
      <c r="CC191" s="249"/>
      <c r="CD191" s="249"/>
      <c r="CE191" s="249"/>
      <c r="CM191" s="249"/>
      <c r="CN191" s="249"/>
      <c r="CO191" s="249"/>
      <c r="CP191" s="249"/>
    </row>
    <row r="192" spans="3:94">
      <c r="C192" s="287"/>
      <c r="D192" s="347"/>
      <c r="E192" s="347"/>
      <c r="F192" s="347"/>
      <c r="G192" s="347"/>
      <c r="H192" s="347"/>
      <c r="K192" s="249"/>
      <c r="O192" s="249"/>
      <c r="P192" s="347"/>
      <c r="X192" s="249"/>
      <c r="Y192" s="249"/>
      <c r="Z192" s="249"/>
      <c r="AA192" s="249"/>
      <c r="AB192" s="249"/>
      <c r="AC192" s="249"/>
      <c r="AD192" s="249"/>
      <c r="AE192" s="249"/>
      <c r="AF192" s="249"/>
      <c r="AG192" s="353"/>
      <c r="AH192" s="353"/>
      <c r="AI192" s="353"/>
      <c r="AJ192" s="249"/>
      <c r="AK192" s="249"/>
      <c r="AL192" s="249"/>
      <c r="AQ192" s="249"/>
      <c r="AR192" s="249"/>
      <c r="AS192" s="249"/>
      <c r="AT192" s="249"/>
      <c r="AU192" s="249"/>
      <c r="AV192" s="249"/>
      <c r="AX192" s="249"/>
      <c r="AZ192" s="249"/>
      <c r="BB192" s="249"/>
      <c r="BC192" s="249"/>
      <c r="BD192" s="249"/>
      <c r="CB192" s="249"/>
      <c r="CC192" s="249"/>
      <c r="CD192" s="249"/>
      <c r="CE192" s="249"/>
      <c r="CM192" s="249"/>
      <c r="CN192" s="249"/>
      <c r="CO192" s="249"/>
      <c r="CP192" s="249"/>
    </row>
    <row r="193" spans="3:94">
      <c r="C193" s="287"/>
      <c r="D193" s="347"/>
      <c r="E193" s="347"/>
      <c r="F193" s="347"/>
      <c r="G193" s="347"/>
      <c r="H193" s="347"/>
      <c r="K193" s="249"/>
      <c r="O193" s="249"/>
      <c r="P193" s="347"/>
      <c r="X193" s="249"/>
      <c r="Y193" s="249"/>
      <c r="Z193" s="249"/>
      <c r="AA193" s="249"/>
      <c r="AB193" s="249"/>
      <c r="AC193" s="249"/>
      <c r="AD193" s="249"/>
      <c r="AE193" s="249"/>
      <c r="AF193" s="249"/>
      <c r="AG193" s="353"/>
      <c r="AH193" s="353"/>
      <c r="AI193" s="353"/>
      <c r="AJ193" s="249"/>
      <c r="AK193" s="249"/>
      <c r="AL193" s="249"/>
      <c r="AQ193" s="249"/>
      <c r="AR193" s="249"/>
      <c r="AS193" s="249"/>
      <c r="AT193" s="249"/>
      <c r="AU193" s="249"/>
      <c r="AV193" s="249"/>
      <c r="AX193" s="249"/>
      <c r="AZ193" s="249"/>
      <c r="BB193" s="249"/>
      <c r="BC193" s="249"/>
      <c r="BD193" s="249"/>
      <c r="CB193" s="249"/>
      <c r="CC193" s="249"/>
      <c r="CD193" s="249"/>
      <c r="CE193" s="249"/>
      <c r="CM193" s="249"/>
      <c r="CN193" s="249"/>
      <c r="CO193" s="249"/>
      <c r="CP193" s="249"/>
    </row>
    <row r="194" spans="3:94">
      <c r="C194" s="287"/>
      <c r="D194" s="347"/>
      <c r="E194" s="347"/>
      <c r="F194" s="347"/>
      <c r="G194" s="347"/>
      <c r="H194" s="347"/>
      <c r="K194" s="249"/>
      <c r="O194" s="249"/>
      <c r="P194" s="347"/>
      <c r="X194" s="249"/>
      <c r="Y194" s="249"/>
      <c r="Z194" s="249"/>
      <c r="AA194" s="249"/>
      <c r="AB194" s="249"/>
      <c r="AC194" s="249"/>
      <c r="AD194" s="249"/>
      <c r="AE194" s="249"/>
      <c r="AF194" s="249"/>
      <c r="AG194" s="353"/>
      <c r="AH194" s="353"/>
      <c r="AI194" s="353"/>
      <c r="AJ194" s="249"/>
      <c r="AK194" s="249"/>
      <c r="AL194" s="249"/>
      <c r="AQ194" s="249"/>
      <c r="AR194" s="249"/>
      <c r="AS194" s="249"/>
      <c r="AT194" s="249"/>
      <c r="AU194" s="249"/>
      <c r="AV194" s="249"/>
      <c r="AX194" s="249"/>
      <c r="AZ194" s="249"/>
      <c r="BB194" s="249"/>
      <c r="BC194" s="249"/>
      <c r="BD194" s="249"/>
      <c r="CB194" s="249"/>
      <c r="CC194" s="249"/>
      <c r="CD194" s="249"/>
      <c r="CE194" s="249"/>
      <c r="CM194" s="249"/>
      <c r="CN194" s="249"/>
      <c r="CO194" s="249"/>
      <c r="CP194" s="249"/>
    </row>
    <row r="195" spans="3:94">
      <c r="C195" s="287"/>
      <c r="D195" s="347"/>
      <c r="E195" s="347"/>
      <c r="F195" s="347"/>
      <c r="G195" s="347"/>
      <c r="H195" s="347"/>
      <c r="K195" s="249"/>
      <c r="O195" s="249"/>
      <c r="P195" s="347"/>
      <c r="X195" s="249"/>
      <c r="Y195" s="249"/>
      <c r="Z195" s="249"/>
      <c r="AA195" s="249"/>
      <c r="AB195" s="249"/>
      <c r="AC195" s="249"/>
      <c r="AD195" s="249"/>
      <c r="AE195" s="249"/>
      <c r="AF195" s="249"/>
      <c r="AG195" s="353"/>
      <c r="AH195" s="353"/>
      <c r="AI195" s="353"/>
      <c r="AJ195" s="249"/>
      <c r="AK195" s="249"/>
      <c r="AL195" s="249"/>
      <c r="AQ195" s="249"/>
      <c r="AR195" s="249"/>
      <c r="AS195" s="249"/>
      <c r="AT195" s="249"/>
      <c r="AU195" s="249"/>
      <c r="AV195" s="249"/>
      <c r="AX195" s="249"/>
      <c r="AZ195" s="249"/>
      <c r="BB195" s="249"/>
      <c r="BC195" s="249"/>
      <c r="BD195" s="249"/>
      <c r="CB195" s="249"/>
      <c r="CC195" s="249"/>
      <c r="CD195" s="249"/>
      <c r="CE195" s="249"/>
      <c r="CM195" s="249"/>
      <c r="CN195" s="249"/>
      <c r="CO195" s="249"/>
      <c r="CP195" s="249"/>
    </row>
    <row r="196" spans="3:94">
      <c r="C196" s="287"/>
      <c r="D196" s="347"/>
      <c r="E196" s="347"/>
      <c r="F196" s="347"/>
      <c r="G196" s="347"/>
      <c r="H196" s="347"/>
      <c r="K196" s="249"/>
      <c r="O196" s="249"/>
      <c r="P196" s="347"/>
      <c r="X196" s="249"/>
      <c r="Y196" s="249"/>
      <c r="Z196" s="249"/>
      <c r="AA196" s="249"/>
      <c r="AB196" s="249"/>
      <c r="AC196" s="249"/>
      <c r="AD196" s="249"/>
      <c r="AE196" s="249"/>
      <c r="AF196" s="249"/>
      <c r="AG196" s="353"/>
      <c r="AH196" s="353"/>
      <c r="AI196" s="353"/>
      <c r="AJ196" s="249"/>
      <c r="AK196" s="249"/>
      <c r="AL196" s="249"/>
      <c r="AQ196" s="249"/>
      <c r="AR196" s="249"/>
      <c r="AS196" s="249"/>
      <c r="AT196" s="249"/>
      <c r="AU196" s="249"/>
      <c r="AV196" s="249"/>
      <c r="AX196" s="249"/>
      <c r="AZ196" s="249"/>
      <c r="BB196" s="249"/>
      <c r="BC196" s="249"/>
      <c r="BD196" s="249"/>
      <c r="CB196" s="249"/>
      <c r="CC196" s="249"/>
      <c r="CD196" s="249"/>
      <c r="CE196" s="249"/>
      <c r="CM196" s="249"/>
      <c r="CN196" s="249"/>
      <c r="CO196" s="249"/>
      <c r="CP196" s="249"/>
    </row>
    <row r="197" spans="3:94">
      <c r="C197" s="287"/>
      <c r="D197" s="347"/>
      <c r="E197" s="347"/>
      <c r="F197" s="347"/>
      <c r="G197" s="347"/>
      <c r="H197" s="347"/>
      <c r="K197" s="249"/>
      <c r="O197" s="249"/>
      <c r="P197" s="347"/>
      <c r="X197" s="249"/>
      <c r="Y197" s="249"/>
      <c r="Z197" s="249"/>
      <c r="AA197" s="249"/>
      <c r="AB197" s="249"/>
      <c r="AC197" s="249"/>
      <c r="AD197" s="249"/>
      <c r="AE197" s="249"/>
      <c r="AF197" s="249"/>
      <c r="AG197" s="353"/>
      <c r="AH197" s="353"/>
      <c r="AI197" s="353"/>
      <c r="AJ197" s="249"/>
      <c r="AK197" s="249"/>
      <c r="AL197" s="249"/>
      <c r="AQ197" s="249"/>
      <c r="AR197" s="249"/>
      <c r="AS197" s="249"/>
      <c r="AT197" s="249"/>
      <c r="AU197" s="249"/>
      <c r="AV197" s="249"/>
      <c r="AX197" s="249"/>
      <c r="AZ197" s="249"/>
      <c r="BB197" s="249"/>
      <c r="BC197" s="249"/>
      <c r="BD197" s="249"/>
      <c r="CB197" s="249"/>
      <c r="CC197" s="249"/>
      <c r="CD197" s="249"/>
      <c r="CE197" s="249"/>
      <c r="CM197" s="249"/>
      <c r="CN197" s="249"/>
      <c r="CO197" s="249"/>
      <c r="CP197" s="249"/>
    </row>
    <row r="198" spans="3:94">
      <c r="C198" s="287"/>
      <c r="D198" s="347"/>
      <c r="E198" s="347"/>
      <c r="F198" s="347"/>
      <c r="G198" s="347"/>
      <c r="H198" s="347"/>
      <c r="K198" s="249"/>
      <c r="O198" s="249"/>
      <c r="P198" s="347"/>
      <c r="X198" s="249"/>
      <c r="Y198" s="249"/>
      <c r="Z198" s="249"/>
      <c r="AA198" s="249"/>
      <c r="AB198" s="249"/>
      <c r="AC198" s="249"/>
      <c r="AD198" s="249"/>
      <c r="AE198" s="249"/>
      <c r="AF198" s="249"/>
      <c r="AG198" s="353"/>
      <c r="AH198" s="353"/>
      <c r="AI198" s="353"/>
      <c r="AJ198" s="249"/>
      <c r="AK198" s="249"/>
      <c r="AL198" s="249"/>
      <c r="AQ198" s="249"/>
      <c r="AR198" s="249"/>
      <c r="AS198" s="249"/>
      <c r="AT198" s="249"/>
      <c r="AU198" s="249"/>
      <c r="AV198" s="249"/>
      <c r="AX198" s="249"/>
      <c r="AZ198" s="249"/>
      <c r="BB198" s="249"/>
      <c r="BC198" s="249"/>
      <c r="BD198" s="249"/>
      <c r="CB198" s="249"/>
      <c r="CC198" s="249"/>
      <c r="CD198" s="249"/>
      <c r="CE198" s="249"/>
      <c r="CM198" s="249"/>
      <c r="CN198" s="249"/>
      <c r="CO198" s="249"/>
      <c r="CP198" s="249"/>
    </row>
    <row r="199" spans="3:94">
      <c r="C199" s="287"/>
      <c r="D199" s="347"/>
      <c r="E199" s="347"/>
      <c r="F199" s="347"/>
      <c r="G199" s="347"/>
      <c r="H199" s="347"/>
      <c r="K199" s="249"/>
      <c r="O199" s="249"/>
      <c r="P199" s="347"/>
      <c r="X199" s="249"/>
      <c r="Y199" s="249"/>
      <c r="Z199" s="249"/>
      <c r="AA199" s="249"/>
      <c r="AB199" s="249"/>
      <c r="AC199" s="249"/>
      <c r="AD199" s="249"/>
      <c r="AE199" s="249"/>
      <c r="AF199" s="249"/>
      <c r="AG199" s="353"/>
      <c r="AH199" s="353"/>
      <c r="AI199" s="353"/>
      <c r="AJ199" s="249"/>
      <c r="AK199" s="249"/>
      <c r="AL199" s="249"/>
      <c r="AQ199" s="249"/>
      <c r="AR199" s="249"/>
      <c r="AS199" s="249"/>
      <c r="AT199" s="249"/>
      <c r="AU199" s="249"/>
      <c r="AV199" s="249"/>
      <c r="AX199" s="249"/>
      <c r="AZ199" s="249"/>
      <c r="BB199" s="249"/>
      <c r="BC199" s="249"/>
      <c r="BD199" s="249"/>
      <c r="CB199" s="249"/>
      <c r="CC199" s="249"/>
      <c r="CD199" s="249"/>
      <c r="CE199" s="249"/>
      <c r="CM199" s="249"/>
      <c r="CN199" s="249"/>
      <c r="CO199" s="249"/>
      <c r="CP199" s="249"/>
    </row>
    <row r="200" spans="3:94">
      <c r="C200" s="287"/>
      <c r="D200" s="347"/>
      <c r="E200" s="347"/>
      <c r="F200" s="347"/>
      <c r="G200" s="347"/>
      <c r="H200" s="347"/>
      <c r="K200" s="249"/>
      <c r="O200" s="249"/>
      <c r="P200" s="347"/>
      <c r="X200" s="249"/>
      <c r="Y200" s="249"/>
      <c r="Z200" s="249"/>
      <c r="AA200" s="249"/>
      <c r="AB200" s="249"/>
      <c r="AC200" s="249"/>
      <c r="AD200" s="249"/>
      <c r="AE200" s="249"/>
      <c r="AF200" s="249"/>
      <c r="AG200" s="353"/>
      <c r="AH200" s="353"/>
      <c r="AI200" s="353"/>
      <c r="AJ200" s="249"/>
      <c r="AK200" s="249"/>
      <c r="AL200" s="249"/>
      <c r="AQ200" s="249"/>
      <c r="AR200" s="249"/>
      <c r="AS200" s="249"/>
      <c r="AT200" s="249"/>
      <c r="AU200" s="249"/>
      <c r="AV200" s="249"/>
      <c r="AX200" s="249"/>
      <c r="AZ200" s="249"/>
      <c r="BB200" s="249"/>
      <c r="BC200" s="249"/>
      <c r="BD200" s="249"/>
      <c r="CB200" s="249"/>
      <c r="CC200" s="249"/>
      <c r="CD200" s="249"/>
      <c r="CE200" s="249"/>
      <c r="CM200" s="249"/>
      <c r="CN200" s="249"/>
      <c r="CO200" s="249"/>
      <c r="CP200" s="249"/>
    </row>
    <row r="201" spans="3:94">
      <c r="C201" s="287"/>
      <c r="D201" s="347"/>
      <c r="E201" s="347"/>
      <c r="F201" s="347"/>
      <c r="G201" s="347"/>
      <c r="H201" s="347"/>
      <c r="K201" s="249"/>
      <c r="O201" s="249"/>
      <c r="P201" s="347"/>
      <c r="X201" s="249"/>
      <c r="Y201" s="249"/>
      <c r="Z201" s="249"/>
      <c r="AA201" s="249"/>
      <c r="AB201" s="249"/>
      <c r="AC201" s="249"/>
      <c r="AD201" s="249"/>
      <c r="AE201" s="249"/>
      <c r="AF201" s="249"/>
      <c r="AG201" s="353"/>
      <c r="AH201" s="353"/>
      <c r="AI201" s="353"/>
      <c r="AJ201" s="249"/>
      <c r="AK201" s="249"/>
      <c r="AL201" s="249"/>
      <c r="AQ201" s="249"/>
      <c r="AR201" s="249"/>
      <c r="AS201" s="249"/>
      <c r="AT201" s="249"/>
      <c r="AU201" s="249"/>
      <c r="AV201" s="249"/>
      <c r="AX201" s="249"/>
      <c r="AZ201" s="249"/>
      <c r="BB201" s="249"/>
      <c r="BC201" s="249"/>
      <c r="BD201" s="249"/>
      <c r="CB201" s="249"/>
      <c r="CC201" s="249"/>
      <c r="CD201" s="249"/>
      <c r="CE201" s="249"/>
      <c r="CM201" s="249"/>
      <c r="CN201" s="249"/>
      <c r="CO201" s="249"/>
      <c r="CP201" s="249"/>
    </row>
    <row r="202" spans="3:94">
      <c r="C202" s="287"/>
      <c r="D202" s="347"/>
      <c r="E202" s="347"/>
      <c r="F202" s="347"/>
      <c r="G202" s="347"/>
      <c r="H202" s="347"/>
      <c r="K202" s="249"/>
      <c r="O202" s="249"/>
      <c r="P202" s="347"/>
      <c r="X202" s="249"/>
      <c r="Y202" s="249"/>
      <c r="Z202" s="249"/>
      <c r="AA202" s="249"/>
      <c r="AB202" s="249"/>
      <c r="AC202" s="249"/>
      <c r="AD202" s="249"/>
      <c r="AE202" s="249"/>
      <c r="AF202" s="249"/>
      <c r="AG202" s="353"/>
      <c r="AH202" s="353"/>
      <c r="AI202" s="353"/>
      <c r="AJ202" s="249"/>
      <c r="AK202" s="249"/>
      <c r="AL202" s="249"/>
      <c r="AQ202" s="249"/>
      <c r="AR202" s="249"/>
      <c r="AS202" s="249"/>
      <c r="AT202" s="249"/>
      <c r="AU202" s="249"/>
      <c r="AV202" s="249"/>
      <c r="AX202" s="249"/>
      <c r="AZ202" s="249"/>
      <c r="BB202" s="249"/>
      <c r="BC202" s="249"/>
      <c r="BD202" s="249"/>
      <c r="CB202" s="249"/>
      <c r="CC202" s="249"/>
      <c r="CD202" s="249"/>
      <c r="CE202" s="249"/>
      <c r="CM202" s="249"/>
      <c r="CN202" s="249"/>
      <c r="CO202" s="249"/>
      <c r="CP202" s="249"/>
    </row>
    <row r="203" spans="3:94">
      <c r="C203" s="287"/>
      <c r="D203" s="347"/>
      <c r="E203" s="347"/>
      <c r="F203" s="347"/>
      <c r="G203" s="347"/>
      <c r="H203" s="347"/>
      <c r="K203" s="249"/>
      <c r="O203" s="249"/>
      <c r="P203" s="347"/>
      <c r="X203" s="249"/>
      <c r="Y203" s="249"/>
      <c r="Z203" s="249"/>
      <c r="AA203" s="249"/>
      <c r="AB203" s="249"/>
      <c r="AC203" s="249"/>
      <c r="AD203" s="249"/>
      <c r="AE203" s="249"/>
      <c r="AF203" s="249"/>
      <c r="AG203" s="353"/>
      <c r="AH203" s="353"/>
      <c r="AI203" s="353"/>
      <c r="AJ203" s="249"/>
      <c r="AK203" s="249"/>
      <c r="AL203" s="249"/>
      <c r="AQ203" s="249"/>
      <c r="AR203" s="249"/>
      <c r="AS203" s="249"/>
      <c r="AT203" s="249"/>
      <c r="AU203" s="249"/>
      <c r="AV203" s="249"/>
      <c r="AX203" s="249"/>
      <c r="AZ203" s="249"/>
      <c r="BB203" s="249"/>
      <c r="BC203" s="249"/>
      <c r="BD203" s="249"/>
      <c r="CB203" s="249"/>
      <c r="CC203" s="249"/>
      <c r="CD203" s="249"/>
      <c r="CE203" s="249"/>
      <c r="CM203" s="249"/>
      <c r="CN203" s="249"/>
      <c r="CO203" s="249"/>
      <c r="CP203" s="249"/>
    </row>
    <row r="204" spans="3:94">
      <c r="C204" s="287"/>
      <c r="D204" s="347"/>
      <c r="E204" s="347"/>
      <c r="F204" s="347"/>
      <c r="G204" s="347"/>
      <c r="H204" s="347"/>
      <c r="K204" s="249"/>
      <c r="O204" s="249"/>
      <c r="P204" s="347"/>
      <c r="X204" s="249"/>
      <c r="Y204" s="249"/>
      <c r="Z204" s="249"/>
      <c r="AA204" s="249"/>
      <c r="AB204" s="249"/>
      <c r="AC204" s="249"/>
      <c r="AD204" s="249"/>
      <c r="AE204" s="249"/>
      <c r="AF204" s="249"/>
      <c r="AG204" s="353"/>
      <c r="AH204" s="353"/>
      <c r="AI204" s="353"/>
      <c r="AJ204" s="249"/>
      <c r="AK204" s="249"/>
      <c r="AL204" s="249"/>
      <c r="AQ204" s="249"/>
      <c r="AR204" s="249"/>
      <c r="AS204" s="249"/>
      <c r="AT204" s="249"/>
      <c r="AU204" s="249"/>
      <c r="AV204" s="249"/>
      <c r="AX204" s="249"/>
      <c r="AZ204" s="249"/>
      <c r="BB204" s="249"/>
      <c r="BC204" s="249"/>
      <c r="BD204" s="249"/>
      <c r="CB204" s="249"/>
      <c r="CC204" s="249"/>
      <c r="CD204" s="249"/>
      <c r="CE204" s="249"/>
      <c r="CM204" s="249"/>
      <c r="CN204" s="249"/>
      <c r="CO204" s="249"/>
      <c r="CP204" s="249"/>
    </row>
    <row r="205" spans="3:94">
      <c r="C205" s="287"/>
      <c r="D205" s="347"/>
      <c r="E205" s="347"/>
      <c r="F205" s="347"/>
      <c r="G205" s="347"/>
      <c r="H205" s="347"/>
      <c r="K205" s="249"/>
      <c r="O205" s="249"/>
      <c r="P205" s="347"/>
      <c r="X205" s="249"/>
      <c r="Y205" s="249"/>
      <c r="Z205" s="249"/>
      <c r="AA205" s="249"/>
      <c r="AB205" s="249"/>
      <c r="AC205" s="249"/>
      <c r="AD205" s="249"/>
      <c r="AE205" s="249"/>
      <c r="AF205" s="249"/>
      <c r="AG205" s="353"/>
      <c r="AH205" s="353"/>
      <c r="AI205" s="353"/>
      <c r="AJ205" s="249"/>
      <c r="AK205" s="249"/>
      <c r="AL205" s="249"/>
      <c r="AQ205" s="249"/>
      <c r="AR205" s="249"/>
      <c r="AS205" s="249"/>
      <c r="AT205" s="249"/>
      <c r="AU205" s="249"/>
      <c r="AV205" s="249"/>
      <c r="AX205" s="249"/>
      <c r="AZ205" s="249"/>
      <c r="BB205" s="249"/>
      <c r="BC205" s="249"/>
      <c r="BD205" s="249"/>
      <c r="CB205" s="249"/>
      <c r="CC205" s="249"/>
      <c r="CD205" s="249"/>
      <c r="CE205" s="249"/>
      <c r="CM205" s="249"/>
      <c r="CN205" s="249"/>
      <c r="CO205" s="249"/>
      <c r="CP205" s="249"/>
    </row>
    <row r="206" spans="3:94">
      <c r="C206" s="287"/>
      <c r="D206" s="347"/>
      <c r="E206" s="347"/>
      <c r="F206" s="347"/>
      <c r="G206" s="347"/>
      <c r="H206" s="347"/>
      <c r="K206" s="249"/>
      <c r="O206" s="249"/>
      <c r="P206" s="347"/>
      <c r="X206" s="249"/>
      <c r="Y206" s="249"/>
      <c r="Z206" s="249"/>
      <c r="AA206" s="249"/>
      <c r="AB206" s="249"/>
      <c r="AC206" s="249"/>
      <c r="AD206" s="249"/>
      <c r="AE206" s="249"/>
      <c r="AF206" s="249"/>
      <c r="AG206" s="353"/>
      <c r="AH206" s="353"/>
      <c r="AI206" s="353"/>
      <c r="AJ206" s="249"/>
      <c r="AK206" s="249"/>
      <c r="AL206" s="249"/>
      <c r="AQ206" s="249"/>
      <c r="AR206" s="249"/>
      <c r="AS206" s="249"/>
      <c r="AT206" s="249"/>
      <c r="AU206" s="249"/>
      <c r="AV206" s="249"/>
      <c r="AX206" s="249"/>
      <c r="AZ206" s="249"/>
      <c r="BB206" s="249"/>
      <c r="BC206" s="249"/>
      <c r="BD206" s="249"/>
      <c r="CB206" s="249"/>
      <c r="CC206" s="249"/>
      <c r="CD206" s="249"/>
      <c r="CE206" s="249"/>
      <c r="CM206" s="249"/>
      <c r="CN206" s="249"/>
      <c r="CO206" s="249"/>
      <c r="CP206" s="249"/>
    </row>
    <row r="207" spans="3:94">
      <c r="C207" s="287"/>
      <c r="D207" s="347"/>
      <c r="E207" s="347"/>
      <c r="F207" s="347"/>
      <c r="G207" s="347"/>
      <c r="H207" s="347"/>
      <c r="K207" s="249"/>
      <c r="O207" s="249"/>
      <c r="P207" s="347"/>
      <c r="X207" s="249"/>
      <c r="Y207" s="249"/>
      <c r="Z207" s="249"/>
      <c r="AA207" s="249"/>
      <c r="AB207" s="249"/>
      <c r="AC207" s="249"/>
      <c r="AD207" s="249"/>
      <c r="AE207" s="249"/>
      <c r="AF207" s="249"/>
      <c r="AG207" s="353"/>
      <c r="AH207" s="353"/>
      <c r="AI207" s="353"/>
      <c r="AJ207" s="249"/>
      <c r="AK207" s="249"/>
      <c r="AL207" s="249"/>
      <c r="AQ207" s="249"/>
      <c r="AR207" s="249"/>
      <c r="AS207" s="249"/>
      <c r="AT207" s="249"/>
      <c r="AU207" s="249"/>
      <c r="AV207" s="249"/>
      <c r="AX207" s="249"/>
      <c r="AZ207" s="249"/>
      <c r="BB207" s="249"/>
      <c r="BC207" s="249"/>
      <c r="BD207" s="249"/>
      <c r="CB207" s="249"/>
      <c r="CC207" s="249"/>
      <c r="CD207" s="249"/>
      <c r="CE207" s="249"/>
      <c r="CM207" s="249"/>
      <c r="CN207" s="249"/>
      <c r="CO207" s="249"/>
      <c r="CP207" s="249"/>
    </row>
    <row r="208" spans="3:94">
      <c r="C208" s="287"/>
      <c r="D208" s="347"/>
      <c r="E208" s="347"/>
      <c r="F208" s="347"/>
      <c r="G208" s="347"/>
      <c r="H208" s="347"/>
      <c r="K208" s="249"/>
      <c r="O208" s="249"/>
      <c r="P208" s="347"/>
      <c r="X208" s="249"/>
      <c r="Y208" s="249"/>
      <c r="Z208" s="249"/>
      <c r="AA208" s="249"/>
      <c r="AB208" s="249"/>
      <c r="AC208" s="249"/>
      <c r="AD208" s="249"/>
      <c r="AE208" s="249"/>
      <c r="AF208" s="249"/>
      <c r="AG208" s="353"/>
      <c r="AH208" s="353"/>
      <c r="AI208" s="353"/>
      <c r="AJ208" s="249"/>
      <c r="AK208" s="249"/>
      <c r="AL208" s="249"/>
      <c r="AQ208" s="249"/>
      <c r="AR208" s="249"/>
      <c r="AS208" s="249"/>
      <c r="AT208" s="249"/>
      <c r="AU208" s="249"/>
      <c r="AV208" s="249"/>
      <c r="AX208" s="249"/>
      <c r="AZ208" s="249"/>
      <c r="BB208" s="249"/>
      <c r="BC208" s="249"/>
      <c r="BD208" s="249"/>
      <c r="CB208" s="249"/>
      <c r="CC208" s="249"/>
      <c r="CD208" s="249"/>
      <c r="CE208" s="249"/>
      <c r="CM208" s="249"/>
      <c r="CN208" s="249"/>
      <c r="CO208" s="249"/>
      <c r="CP208" s="249"/>
    </row>
    <row r="209" spans="3:94">
      <c r="C209" s="287"/>
      <c r="D209" s="347"/>
      <c r="E209" s="347"/>
      <c r="F209" s="347"/>
      <c r="G209" s="347"/>
      <c r="H209" s="347"/>
      <c r="K209" s="249"/>
      <c r="O209" s="249"/>
      <c r="P209" s="347"/>
      <c r="X209" s="249"/>
      <c r="Y209" s="249"/>
      <c r="Z209" s="249"/>
      <c r="AA209" s="249"/>
      <c r="AB209" s="249"/>
      <c r="AC209" s="249"/>
      <c r="AD209" s="249"/>
      <c r="AE209" s="249"/>
      <c r="AF209" s="249"/>
      <c r="AG209" s="353"/>
      <c r="AH209" s="353"/>
      <c r="AI209" s="353"/>
      <c r="AJ209" s="249"/>
      <c r="AK209" s="249"/>
      <c r="AL209" s="249"/>
      <c r="AQ209" s="249"/>
      <c r="AR209" s="249"/>
      <c r="AS209" s="249"/>
      <c r="AT209" s="249"/>
      <c r="AU209" s="249"/>
      <c r="AV209" s="249"/>
      <c r="AX209" s="249"/>
      <c r="AZ209" s="249"/>
      <c r="BB209" s="249"/>
      <c r="BC209" s="249"/>
      <c r="BD209" s="249"/>
      <c r="CB209" s="249"/>
      <c r="CC209" s="249"/>
      <c r="CD209" s="249"/>
      <c r="CE209" s="249"/>
      <c r="CM209" s="249"/>
      <c r="CN209" s="249"/>
      <c r="CO209" s="249"/>
      <c r="CP209" s="249"/>
    </row>
    <row r="210" spans="3:94">
      <c r="C210" s="287"/>
      <c r="D210" s="347"/>
      <c r="E210" s="347"/>
      <c r="F210" s="347"/>
      <c r="G210" s="347"/>
      <c r="H210" s="347"/>
      <c r="K210" s="249"/>
      <c r="O210" s="249"/>
      <c r="P210" s="347"/>
      <c r="X210" s="249"/>
      <c r="Y210" s="249"/>
      <c r="Z210" s="249"/>
      <c r="AA210" s="249"/>
      <c r="AB210" s="249"/>
      <c r="AC210" s="249"/>
      <c r="AD210" s="249"/>
      <c r="AE210" s="249"/>
      <c r="AF210" s="249"/>
      <c r="AG210" s="353"/>
      <c r="AH210" s="353"/>
      <c r="AI210" s="353"/>
      <c r="AJ210" s="249"/>
      <c r="AK210" s="249"/>
      <c r="AL210" s="249"/>
      <c r="AQ210" s="249"/>
      <c r="AR210" s="249"/>
      <c r="AS210" s="249"/>
      <c r="AT210" s="249"/>
      <c r="AU210" s="249"/>
      <c r="AV210" s="249"/>
      <c r="AX210" s="249"/>
      <c r="AZ210" s="249"/>
      <c r="BB210" s="249"/>
      <c r="BC210" s="249"/>
      <c r="BD210" s="249"/>
      <c r="CB210" s="249"/>
      <c r="CC210" s="249"/>
      <c r="CD210" s="249"/>
      <c r="CE210" s="249"/>
      <c r="CM210" s="249"/>
      <c r="CN210" s="249"/>
      <c r="CO210" s="249"/>
      <c r="CP210" s="249"/>
    </row>
    <row r="211" spans="3:94">
      <c r="C211" s="287"/>
      <c r="D211" s="347"/>
      <c r="E211" s="347"/>
      <c r="F211" s="347"/>
      <c r="G211" s="347"/>
      <c r="H211" s="347"/>
      <c r="K211" s="249"/>
      <c r="O211" s="249"/>
      <c r="P211" s="347"/>
      <c r="X211" s="249"/>
      <c r="Y211" s="249"/>
      <c r="Z211" s="249"/>
      <c r="AA211" s="249"/>
      <c r="AB211" s="249"/>
      <c r="AC211" s="249"/>
      <c r="AD211" s="249"/>
      <c r="AE211" s="249"/>
      <c r="AF211" s="249"/>
      <c r="AG211" s="353"/>
      <c r="AH211" s="353"/>
      <c r="AI211" s="353"/>
      <c r="AJ211" s="249"/>
      <c r="AK211" s="249"/>
      <c r="AL211" s="249"/>
      <c r="AQ211" s="249"/>
      <c r="AR211" s="249"/>
      <c r="AS211" s="249"/>
      <c r="AT211" s="249"/>
      <c r="AU211" s="249"/>
      <c r="AV211" s="249"/>
      <c r="AX211" s="249"/>
      <c r="AZ211" s="249"/>
      <c r="BB211" s="249"/>
      <c r="BC211" s="249"/>
      <c r="BD211" s="249"/>
      <c r="CB211" s="249"/>
      <c r="CC211" s="249"/>
      <c r="CD211" s="249"/>
      <c r="CE211" s="249"/>
      <c r="CM211" s="249"/>
      <c r="CN211" s="249"/>
      <c r="CO211" s="249"/>
      <c r="CP211" s="249"/>
    </row>
    <row r="212" spans="3:94">
      <c r="C212" s="287"/>
      <c r="D212" s="347"/>
      <c r="E212" s="347"/>
      <c r="F212" s="347"/>
      <c r="G212" s="347"/>
      <c r="H212" s="347"/>
      <c r="K212" s="249"/>
      <c r="O212" s="249"/>
      <c r="P212" s="347"/>
      <c r="X212" s="249"/>
      <c r="Y212" s="249"/>
      <c r="Z212" s="249"/>
      <c r="AA212" s="249"/>
      <c r="AB212" s="249"/>
      <c r="AC212" s="249"/>
      <c r="AD212" s="249"/>
      <c r="AE212" s="249"/>
      <c r="AF212" s="249"/>
      <c r="AG212" s="353"/>
      <c r="AH212" s="353"/>
      <c r="AI212" s="353"/>
      <c r="AJ212" s="249"/>
      <c r="AK212" s="249"/>
      <c r="AL212" s="249"/>
      <c r="AQ212" s="249"/>
      <c r="AR212" s="249"/>
      <c r="AS212" s="249"/>
      <c r="AT212" s="249"/>
      <c r="AU212" s="249"/>
      <c r="AV212" s="249"/>
      <c r="AX212" s="249"/>
      <c r="AZ212" s="249"/>
      <c r="BB212" s="249"/>
      <c r="BC212" s="249"/>
      <c r="BD212" s="249"/>
      <c r="CB212" s="249"/>
      <c r="CC212" s="249"/>
      <c r="CD212" s="249"/>
      <c r="CE212" s="249"/>
      <c r="CM212" s="249"/>
      <c r="CN212" s="249"/>
      <c r="CO212" s="249"/>
      <c r="CP212" s="249"/>
    </row>
    <row r="213" spans="3:94">
      <c r="C213" s="287"/>
      <c r="D213" s="347"/>
      <c r="E213" s="347"/>
      <c r="F213" s="347"/>
      <c r="G213" s="347"/>
      <c r="H213" s="347"/>
      <c r="K213" s="249"/>
      <c r="O213" s="249"/>
      <c r="P213" s="347"/>
      <c r="X213" s="249"/>
      <c r="Y213" s="249"/>
      <c r="Z213" s="249"/>
      <c r="AA213" s="249"/>
      <c r="AB213" s="249"/>
      <c r="AC213" s="249"/>
      <c r="AD213" s="249"/>
      <c r="AE213" s="249"/>
      <c r="AF213" s="249"/>
      <c r="AG213" s="353"/>
      <c r="AH213" s="353"/>
      <c r="AI213" s="353"/>
      <c r="AJ213" s="249"/>
      <c r="AK213" s="249"/>
      <c r="AL213" s="249"/>
      <c r="AQ213" s="249"/>
      <c r="AR213" s="249"/>
      <c r="AS213" s="249"/>
      <c r="AT213" s="249"/>
      <c r="AU213" s="249"/>
      <c r="AV213" s="249"/>
      <c r="AX213" s="249"/>
      <c r="AZ213" s="249"/>
      <c r="BB213" s="249"/>
      <c r="BC213" s="249"/>
      <c r="BD213" s="249"/>
      <c r="CB213" s="249"/>
      <c r="CC213" s="249"/>
      <c r="CD213" s="249"/>
      <c r="CE213" s="249"/>
      <c r="CM213" s="249"/>
      <c r="CN213" s="249"/>
      <c r="CO213" s="249"/>
      <c r="CP213" s="249"/>
    </row>
    <row r="214" spans="3:94">
      <c r="C214" s="287"/>
      <c r="D214" s="347"/>
      <c r="E214" s="347"/>
      <c r="F214" s="347"/>
      <c r="G214" s="347"/>
      <c r="H214" s="347"/>
      <c r="K214" s="249"/>
      <c r="O214" s="249"/>
      <c r="P214" s="347"/>
      <c r="X214" s="249"/>
      <c r="Y214" s="249"/>
      <c r="Z214" s="249"/>
      <c r="AA214" s="249"/>
      <c r="AB214" s="249"/>
      <c r="AC214" s="249"/>
      <c r="AD214" s="249"/>
      <c r="AE214" s="249"/>
      <c r="AF214" s="249"/>
      <c r="AG214" s="353"/>
      <c r="AH214" s="353"/>
      <c r="AI214" s="353"/>
      <c r="AJ214" s="249"/>
      <c r="AK214" s="249"/>
      <c r="AL214" s="249"/>
      <c r="AQ214" s="249"/>
      <c r="AR214" s="249"/>
      <c r="AS214" s="249"/>
      <c r="AT214" s="249"/>
      <c r="AU214" s="249"/>
      <c r="AV214" s="249"/>
      <c r="AX214" s="249"/>
      <c r="AZ214" s="249"/>
      <c r="BB214" s="249"/>
      <c r="BC214" s="249"/>
      <c r="BD214" s="249"/>
      <c r="CB214" s="249"/>
      <c r="CC214" s="249"/>
      <c r="CD214" s="249"/>
      <c r="CE214" s="249"/>
      <c r="CM214" s="249"/>
      <c r="CN214" s="249"/>
      <c r="CO214" s="249"/>
      <c r="CP214" s="249"/>
    </row>
    <row r="215" spans="3:94">
      <c r="C215" s="287"/>
      <c r="D215" s="347"/>
      <c r="E215" s="347"/>
      <c r="F215" s="347"/>
      <c r="G215" s="347"/>
      <c r="H215" s="347"/>
      <c r="K215" s="249"/>
      <c r="O215" s="249"/>
      <c r="P215" s="347"/>
      <c r="X215" s="249"/>
      <c r="Y215" s="249"/>
      <c r="Z215" s="249"/>
      <c r="AA215" s="249"/>
      <c r="AB215" s="249"/>
      <c r="AC215" s="249"/>
      <c r="AD215" s="249"/>
      <c r="AE215" s="249"/>
      <c r="AF215" s="249"/>
      <c r="AG215" s="353"/>
      <c r="AH215" s="353"/>
      <c r="AI215" s="353"/>
      <c r="AJ215" s="249"/>
      <c r="AK215" s="249"/>
      <c r="AL215" s="249"/>
      <c r="AQ215" s="249"/>
      <c r="AR215" s="249"/>
      <c r="AS215" s="249"/>
      <c r="AT215" s="249"/>
      <c r="AU215" s="249"/>
      <c r="AV215" s="249"/>
      <c r="AX215" s="249"/>
      <c r="AZ215" s="249"/>
      <c r="BB215" s="249"/>
      <c r="BC215" s="249"/>
      <c r="BD215" s="249"/>
      <c r="CB215" s="249"/>
      <c r="CC215" s="249"/>
      <c r="CD215" s="249"/>
      <c r="CE215" s="249"/>
      <c r="CM215" s="249"/>
      <c r="CN215" s="249"/>
      <c r="CO215" s="249"/>
      <c r="CP215" s="249"/>
    </row>
    <row r="216" spans="3:94">
      <c r="C216" s="287"/>
      <c r="D216" s="347"/>
      <c r="E216" s="347"/>
      <c r="F216" s="347"/>
      <c r="G216" s="347"/>
      <c r="H216" s="347"/>
      <c r="K216" s="249"/>
      <c r="O216" s="249"/>
      <c r="P216" s="347"/>
      <c r="X216" s="249"/>
      <c r="Y216" s="249"/>
      <c r="Z216" s="249"/>
      <c r="AA216" s="249"/>
      <c r="AB216" s="249"/>
      <c r="AC216" s="249"/>
      <c r="AD216" s="249"/>
      <c r="AE216" s="249"/>
      <c r="AF216" s="249"/>
      <c r="AG216" s="353"/>
      <c r="AH216" s="353"/>
      <c r="AI216" s="353"/>
      <c r="AJ216" s="249"/>
      <c r="AK216" s="249"/>
      <c r="AL216" s="249"/>
      <c r="AQ216" s="249"/>
      <c r="AR216" s="249"/>
      <c r="AS216" s="249"/>
      <c r="AT216" s="249"/>
      <c r="AU216" s="249"/>
      <c r="AV216" s="249"/>
      <c r="AX216" s="249"/>
      <c r="AZ216" s="249"/>
      <c r="BB216" s="249"/>
      <c r="BC216" s="249"/>
      <c r="BD216" s="249"/>
      <c r="CB216" s="249"/>
      <c r="CC216" s="249"/>
      <c r="CD216" s="249"/>
      <c r="CE216" s="249"/>
      <c r="CM216" s="249"/>
      <c r="CN216" s="249"/>
      <c r="CO216" s="249"/>
      <c r="CP216" s="249"/>
    </row>
    <row r="217" spans="3:94">
      <c r="C217" s="287"/>
      <c r="D217" s="347"/>
      <c r="E217" s="347"/>
      <c r="F217" s="347"/>
      <c r="G217" s="347"/>
      <c r="H217" s="347"/>
      <c r="K217" s="249"/>
      <c r="O217" s="249"/>
      <c r="P217" s="347"/>
      <c r="X217" s="249"/>
      <c r="Y217" s="249"/>
      <c r="Z217" s="249"/>
      <c r="AA217" s="249"/>
      <c r="AB217" s="249"/>
      <c r="AC217" s="249"/>
      <c r="AD217" s="249"/>
      <c r="AE217" s="249"/>
      <c r="AF217" s="249"/>
      <c r="AG217" s="353"/>
      <c r="AH217" s="353"/>
      <c r="AI217" s="353"/>
      <c r="AJ217" s="249"/>
      <c r="AK217" s="249"/>
      <c r="AL217" s="249"/>
      <c r="AQ217" s="249"/>
      <c r="AR217" s="249"/>
      <c r="AS217" s="249"/>
      <c r="AT217" s="249"/>
      <c r="AU217" s="249"/>
      <c r="AV217" s="249"/>
      <c r="AX217" s="249"/>
      <c r="AZ217" s="249"/>
      <c r="BB217" s="249"/>
      <c r="BC217" s="249"/>
      <c r="BD217" s="249"/>
      <c r="CB217" s="249"/>
      <c r="CC217" s="249"/>
      <c r="CD217" s="249"/>
      <c r="CE217" s="249"/>
      <c r="CM217" s="249"/>
      <c r="CN217" s="249"/>
      <c r="CO217" s="249"/>
      <c r="CP217" s="249"/>
    </row>
    <row r="218" spans="3:94">
      <c r="C218" s="287"/>
      <c r="D218" s="347"/>
      <c r="E218" s="347"/>
      <c r="F218" s="347"/>
      <c r="G218" s="347"/>
      <c r="H218" s="347"/>
      <c r="K218" s="249"/>
      <c r="O218" s="249"/>
      <c r="P218" s="347"/>
      <c r="X218" s="249"/>
      <c r="Y218" s="249"/>
      <c r="Z218" s="249"/>
      <c r="AA218" s="249"/>
      <c r="AB218" s="249"/>
      <c r="AC218" s="249"/>
      <c r="AD218" s="249"/>
      <c r="AE218" s="249"/>
      <c r="AF218" s="249"/>
      <c r="AG218" s="353"/>
      <c r="AH218" s="353"/>
      <c r="AI218" s="353"/>
      <c r="AJ218" s="249"/>
      <c r="AK218" s="249"/>
      <c r="AL218" s="249"/>
      <c r="AQ218" s="249"/>
      <c r="AR218" s="249"/>
      <c r="AS218" s="249"/>
      <c r="AT218" s="249"/>
      <c r="AU218" s="249"/>
      <c r="AV218" s="249"/>
      <c r="AX218" s="249"/>
      <c r="AZ218" s="249"/>
      <c r="BB218" s="249"/>
      <c r="BC218" s="249"/>
      <c r="BD218" s="249"/>
      <c r="CB218" s="249"/>
      <c r="CC218" s="249"/>
      <c r="CD218" s="249"/>
      <c r="CE218" s="249"/>
      <c r="CM218" s="249"/>
      <c r="CN218" s="249"/>
      <c r="CO218" s="249"/>
      <c r="CP218" s="249"/>
    </row>
    <row r="219" spans="3:94">
      <c r="C219" s="287"/>
      <c r="D219" s="347"/>
      <c r="E219" s="347"/>
      <c r="F219" s="347"/>
      <c r="G219" s="347"/>
      <c r="H219" s="347"/>
      <c r="K219" s="249"/>
      <c r="O219" s="249"/>
      <c r="P219" s="347"/>
      <c r="X219" s="249"/>
      <c r="Y219" s="249"/>
      <c r="Z219" s="249"/>
      <c r="AA219" s="249"/>
      <c r="AB219" s="249"/>
      <c r="AC219" s="249"/>
      <c r="AD219" s="249"/>
      <c r="AE219" s="249"/>
      <c r="AF219" s="249"/>
      <c r="AG219" s="353"/>
      <c r="AH219" s="353"/>
      <c r="AI219" s="353"/>
      <c r="AJ219" s="249"/>
      <c r="AK219" s="249"/>
      <c r="AL219" s="249"/>
      <c r="AQ219" s="249"/>
      <c r="AR219" s="249"/>
      <c r="AS219" s="249"/>
      <c r="AT219" s="249"/>
      <c r="AU219" s="249"/>
      <c r="AV219" s="249"/>
      <c r="AX219" s="249"/>
      <c r="AZ219" s="249"/>
      <c r="BB219" s="249"/>
      <c r="BC219" s="249"/>
      <c r="BD219" s="249"/>
      <c r="CB219" s="249"/>
      <c r="CC219" s="249"/>
      <c r="CD219" s="249"/>
      <c r="CE219" s="249"/>
      <c r="CM219" s="249"/>
      <c r="CN219" s="249"/>
      <c r="CO219" s="249"/>
      <c r="CP219" s="249"/>
    </row>
    <row r="220" spans="3:94">
      <c r="C220" s="287"/>
      <c r="D220" s="347"/>
      <c r="E220" s="347"/>
      <c r="F220" s="347"/>
      <c r="G220" s="347"/>
      <c r="H220" s="347"/>
      <c r="K220" s="249"/>
      <c r="O220" s="249"/>
      <c r="P220" s="347"/>
      <c r="X220" s="249"/>
      <c r="Y220" s="249"/>
      <c r="Z220" s="249"/>
      <c r="AA220" s="249"/>
      <c r="AB220" s="249"/>
      <c r="AC220" s="249"/>
      <c r="AD220" s="249"/>
      <c r="AE220" s="249"/>
      <c r="AF220" s="249"/>
      <c r="AG220" s="353"/>
      <c r="AH220" s="353"/>
      <c r="AI220" s="353"/>
      <c r="AJ220" s="249"/>
      <c r="AK220" s="249"/>
      <c r="AL220" s="249"/>
      <c r="AQ220" s="249"/>
      <c r="AR220" s="249"/>
      <c r="AS220" s="249"/>
      <c r="AT220" s="249"/>
      <c r="AU220" s="249"/>
      <c r="AV220" s="249"/>
      <c r="AX220" s="249"/>
      <c r="AZ220" s="249"/>
      <c r="BB220" s="249"/>
      <c r="BC220" s="249"/>
      <c r="BD220" s="249"/>
      <c r="CB220" s="249"/>
      <c r="CC220" s="249"/>
      <c r="CD220" s="249"/>
      <c r="CE220" s="249"/>
      <c r="CM220" s="249"/>
      <c r="CN220" s="249"/>
      <c r="CO220" s="249"/>
      <c r="CP220" s="249"/>
    </row>
    <row r="221" spans="3:94">
      <c r="C221" s="287"/>
      <c r="D221" s="347"/>
      <c r="E221" s="347"/>
      <c r="F221" s="347"/>
      <c r="G221" s="347"/>
      <c r="H221" s="347"/>
      <c r="K221" s="249"/>
      <c r="O221" s="249"/>
      <c r="P221" s="347"/>
      <c r="X221" s="249"/>
      <c r="Y221" s="249"/>
      <c r="Z221" s="249"/>
      <c r="AA221" s="249"/>
      <c r="AB221" s="249"/>
      <c r="AC221" s="249"/>
      <c r="AD221" s="249"/>
      <c r="AE221" s="249"/>
      <c r="AF221" s="249"/>
      <c r="AG221" s="353"/>
      <c r="AH221" s="353"/>
      <c r="AI221" s="353"/>
      <c r="AJ221" s="249"/>
      <c r="AK221" s="249"/>
      <c r="AL221" s="249"/>
      <c r="AQ221" s="249"/>
      <c r="AR221" s="249"/>
      <c r="AS221" s="249"/>
      <c r="AT221" s="249"/>
      <c r="AU221" s="249"/>
      <c r="AV221" s="249"/>
      <c r="AX221" s="249"/>
      <c r="AZ221" s="249"/>
      <c r="BB221" s="249"/>
      <c r="BC221" s="249"/>
      <c r="BD221" s="249"/>
      <c r="CB221" s="249"/>
      <c r="CC221" s="249"/>
      <c r="CD221" s="249"/>
      <c r="CE221" s="249"/>
      <c r="CM221" s="249"/>
      <c r="CN221" s="249"/>
      <c r="CO221" s="249"/>
      <c r="CP221" s="249"/>
    </row>
    <row r="222" spans="3:94">
      <c r="C222" s="287"/>
      <c r="D222" s="347"/>
      <c r="E222" s="347"/>
      <c r="F222" s="347"/>
      <c r="G222" s="347"/>
      <c r="H222" s="347"/>
      <c r="K222" s="249"/>
      <c r="O222" s="249"/>
      <c r="P222" s="347"/>
      <c r="X222" s="249"/>
      <c r="Y222" s="249"/>
      <c r="Z222" s="249"/>
      <c r="AA222" s="249"/>
      <c r="AB222" s="249"/>
      <c r="AC222" s="249"/>
      <c r="AD222" s="249"/>
      <c r="AE222" s="249"/>
      <c r="AF222" s="249"/>
      <c r="AG222" s="353"/>
      <c r="AH222" s="353"/>
      <c r="AI222" s="353"/>
      <c r="AJ222" s="249"/>
      <c r="AK222" s="249"/>
      <c r="AL222" s="249"/>
      <c r="AQ222" s="249"/>
      <c r="AR222" s="249"/>
      <c r="AS222" s="249"/>
      <c r="AT222" s="249"/>
      <c r="AU222" s="249"/>
      <c r="AV222" s="249"/>
      <c r="AX222" s="249"/>
      <c r="AZ222" s="249"/>
      <c r="BB222" s="249"/>
      <c r="BC222" s="249"/>
      <c r="BD222" s="249"/>
      <c r="CB222" s="249"/>
      <c r="CC222" s="249"/>
      <c r="CD222" s="249"/>
      <c r="CE222" s="249"/>
      <c r="CM222" s="249"/>
      <c r="CN222" s="249"/>
      <c r="CO222" s="249"/>
      <c r="CP222" s="249"/>
    </row>
    <row r="223" spans="3:94">
      <c r="C223" s="287"/>
      <c r="D223" s="347"/>
      <c r="E223" s="347"/>
      <c r="F223" s="347"/>
      <c r="G223" s="347"/>
      <c r="H223" s="347"/>
      <c r="K223" s="249"/>
      <c r="O223" s="249"/>
      <c r="P223" s="347"/>
      <c r="X223" s="249"/>
      <c r="Y223" s="249"/>
      <c r="Z223" s="249"/>
      <c r="AA223" s="249"/>
      <c r="AB223" s="249"/>
      <c r="AC223" s="249"/>
      <c r="AD223" s="249"/>
      <c r="AE223" s="249"/>
      <c r="AF223" s="249"/>
      <c r="AG223" s="353"/>
      <c r="AH223" s="353"/>
      <c r="AI223" s="353"/>
      <c r="AJ223" s="249"/>
      <c r="AK223" s="249"/>
      <c r="AL223" s="249"/>
      <c r="AQ223" s="249"/>
      <c r="AR223" s="249"/>
      <c r="AS223" s="249"/>
      <c r="AT223" s="249"/>
      <c r="AU223" s="249"/>
      <c r="AV223" s="249"/>
      <c r="AX223" s="249"/>
      <c r="AZ223" s="249"/>
      <c r="BB223" s="249"/>
      <c r="BC223" s="249"/>
      <c r="BD223" s="249"/>
      <c r="CB223" s="249"/>
      <c r="CC223" s="249"/>
      <c r="CD223" s="249"/>
      <c r="CE223" s="249"/>
      <c r="CM223" s="249"/>
      <c r="CN223" s="249"/>
      <c r="CO223" s="249"/>
      <c r="CP223" s="249"/>
    </row>
    <row r="224" spans="3:94">
      <c r="C224" s="287"/>
      <c r="D224" s="347"/>
      <c r="E224" s="347"/>
      <c r="F224" s="347"/>
      <c r="G224" s="347"/>
      <c r="H224" s="347"/>
      <c r="K224" s="249"/>
      <c r="O224" s="249"/>
      <c r="P224" s="347"/>
      <c r="X224" s="249"/>
      <c r="Y224" s="249"/>
      <c r="Z224" s="249"/>
      <c r="AA224" s="249"/>
      <c r="AB224" s="249"/>
      <c r="AC224" s="249"/>
      <c r="AD224" s="249"/>
      <c r="AE224" s="249"/>
      <c r="AF224" s="249"/>
      <c r="AG224" s="353"/>
      <c r="AH224" s="353"/>
      <c r="AI224" s="353"/>
      <c r="AJ224" s="249"/>
      <c r="AK224" s="249"/>
      <c r="AL224" s="249"/>
      <c r="AQ224" s="249"/>
      <c r="AR224" s="249"/>
      <c r="AS224" s="249"/>
      <c r="AT224" s="249"/>
      <c r="AU224" s="249"/>
      <c r="AV224" s="249"/>
      <c r="AX224" s="249"/>
      <c r="AZ224" s="249"/>
      <c r="BB224" s="249"/>
      <c r="BC224" s="249"/>
      <c r="BD224" s="249"/>
      <c r="CB224" s="249"/>
      <c r="CC224" s="249"/>
      <c r="CD224" s="249"/>
      <c r="CE224" s="249"/>
      <c r="CM224" s="249"/>
      <c r="CN224" s="249"/>
      <c r="CO224" s="249"/>
      <c r="CP224" s="249"/>
    </row>
    <row r="225" spans="3:94">
      <c r="C225" s="287"/>
      <c r="D225" s="347"/>
      <c r="E225" s="347"/>
      <c r="F225" s="347"/>
      <c r="G225" s="347"/>
      <c r="H225" s="347"/>
      <c r="K225" s="249"/>
      <c r="O225" s="249"/>
      <c r="P225" s="347"/>
      <c r="X225" s="249"/>
      <c r="Y225" s="249"/>
      <c r="Z225" s="249"/>
      <c r="AA225" s="249"/>
      <c r="AB225" s="249"/>
      <c r="AC225" s="249"/>
      <c r="AD225" s="249"/>
      <c r="AE225" s="249"/>
      <c r="AF225" s="249"/>
      <c r="AG225" s="353"/>
      <c r="AH225" s="353"/>
      <c r="AI225" s="353"/>
      <c r="AJ225" s="249"/>
      <c r="AK225" s="249"/>
      <c r="AL225" s="249"/>
      <c r="AQ225" s="249"/>
      <c r="AR225" s="249"/>
      <c r="AS225" s="249"/>
      <c r="AT225" s="249"/>
      <c r="AU225" s="249"/>
      <c r="AV225" s="249"/>
      <c r="AX225" s="249"/>
      <c r="AZ225" s="249"/>
      <c r="BB225" s="249"/>
      <c r="BC225" s="249"/>
      <c r="BD225" s="249"/>
      <c r="CB225" s="249"/>
      <c r="CC225" s="249"/>
      <c r="CD225" s="249"/>
      <c r="CE225" s="249"/>
      <c r="CM225" s="249"/>
      <c r="CN225" s="249"/>
      <c r="CO225" s="249"/>
      <c r="CP225" s="249"/>
    </row>
    <row r="226" spans="3:94">
      <c r="C226" s="287"/>
      <c r="D226" s="347"/>
      <c r="E226" s="347"/>
      <c r="F226" s="347"/>
      <c r="G226" s="347"/>
      <c r="H226" s="347"/>
      <c r="K226" s="249"/>
      <c r="O226" s="249"/>
      <c r="P226" s="347"/>
      <c r="X226" s="249"/>
      <c r="Y226" s="249"/>
      <c r="Z226" s="249"/>
      <c r="AA226" s="249"/>
      <c r="AB226" s="249"/>
      <c r="AC226" s="249"/>
      <c r="AD226" s="249"/>
      <c r="AE226" s="249"/>
      <c r="AF226" s="249"/>
      <c r="AG226" s="353"/>
      <c r="AH226" s="353"/>
      <c r="AI226" s="353"/>
      <c r="AJ226" s="249"/>
      <c r="AK226" s="249"/>
      <c r="AL226" s="249"/>
      <c r="AQ226" s="249"/>
      <c r="AR226" s="249"/>
      <c r="AS226" s="249"/>
      <c r="AT226" s="249"/>
      <c r="AU226" s="249"/>
      <c r="AV226" s="249"/>
      <c r="AX226" s="249"/>
      <c r="AZ226" s="249"/>
      <c r="BB226" s="249"/>
      <c r="BC226" s="249"/>
      <c r="BD226" s="249"/>
      <c r="CB226" s="249"/>
      <c r="CC226" s="249"/>
      <c r="CD226" s="249"/>
      <c r="CE226" s="249"/>
      <c r="CM226" s="249"/>
      <c r="CN226" s="249"/>
      <c r="CO226" s="249"/>
      <c r="CP226" s="249"/>
    </row>
    <row r="227" spans="3:94">
      <c r="C227" s="287"/>
      <c r="D227" s="347"/>
      <c r="E227" s="347"/>
      <c r="F227" s="347"/>
      <c r="G227" s="347"/>
      <c r="H227" s="347"/>
      <c r="K227" s="249"/>
      <c r="O227" s="249"/>
      <c r="P227" s="347"/>
      <c r="X227" s="249"/>
      <c r="Y227" s="249"/>
      <c r="Z227" s="249"/>
      <c r="AA227" s="249"/>
      <c r="AB227" s="249"/>
      <c r="AC227" s="249"/>
      <c r="AD227" s="249"/>
      <c r="AE227" s="249"/>
      <c r="AF227" s="249"/>
      <c r="AG227" s="353"/>
      <c r="AH227" s="353"/>
      <c r="AI227" s="353"/>
      <c r="AJ227" s="249"/>
      <c r="AK227" s="249"/>
      <c r="AL227" s="249"/>
      <c r="AQ227" s="249"/>
      <c r="AR227" s="249"/>
      <c r="AS227" s="249"/>
      <c r="AT227" s="249"/>
      <c r="AU227" s="249"/>
      <c r="AV227" s="249"/>
      <c r="AX227" s="249"/>
      <c r="AZ227" s="249"/>
      <c r="BB227" s="249"/>
      <c r="BC227" s="249"/>
      <c r="BD227" s="249"/>
      <c r="CB227" s="249"/>
      <c r="CC227" s="249"/>
      <c r="CD227" s="249"/>
      <c r="CE227" s="249"/>
      <c r="CM227" s="249"/>
      <c r="CN227" s="249"/>
      <c r="CO227" s="249"/>
      <c r="CP227" s="249"/>
    </row>
    <row r="228" spans="3:94">
      <c r="C228" s="287"/>
      <c r="D228" s="347"/>
      <c r="E228" s="347"/>
      <c r="F228" s="347"/>
      <c r="G228" s="347"/>
      <c r="H228" s="347"/>
      <c r="K228" s="249"/>
      <c r="O228" s="249"/>
      <c r="P228" s="347"/>
      <c r="X228" s="249"/>
      <c r="Y228" s="249"/>
      <c r="Z228" s="249"/>
      <c r="AA228" s="249"/>
      <c r="AB228" s="249"/>
      <c r="AC228" s="249"/>
      <c r="AD228" s="249"/>
      <c r="AE228" s="249"/>
      <c r="AF228" s="249"/>
      <c r="AG228" s="353"/>
      <c r="AH228" s="353"/>
      <c r="AI228" s="353"/>
      <c r="AJ228" s="249"/>
      <c r="AK228" s="249"/>
      <c r="AL228" s="249"/>
      <c r="AQ228" s="249"/>
      <c r="AR228" s="249"/>
      <c r="AS228" s="249"/>
      <c r="AT228" s="249"/>
      <c r="AU228" s="249"/>
      <c r="AV228" s="249"/>
      <c r="AX228" s="249"/>
      <c r="AZ228" s="249"/>
      <c r="BB228" s="249"/>
      <c r="BC228" s="249"/>
      <c r="BD228" s="249"/>
      <c r="CB228" s="249"/>
      <c r="CC228" s="249"/>
      <c r="CD228" s="249"/>
      <c r="CE228" s="249"/>
      <c r="CM228" s="249"/>
      <c r="CN228" s="249"/>
      <c r="CO228" s="249"/>
      <c r="CP228" s="249"/>
    </row>
    <row r="229" spans="3:94">
      <c r="C229" s="287"/>
      <c r="D229" s="347"/>
      <c r="E229" s="347"/>
      <c r="F229" s="347"/>
      <c r="G229" s="347"/>
      <c r="H229" s="347"/>
      <c r="K229" s="249"/>
      <c r="O229" s="249"/>
      <c r="P229" s="347"/>
      <c r="X229" s="249"/>
      <c r="Y229" s="249"/>
      <c r="Z229" s="249"/>
      <c r="AA229" s="249"/>
      <c r="AB229" s="249"/>
      <c r="AC229" s="249"/>
      <c r="AD229" s="249"/>
      <c r="AE229" s="249"/>
      <c r="AF229" s="249"/>
      <c r="AG229" s="353"/>
      <c r="AH229" s="353"/>
      <c r="AI229" s="353"/>
      <c r="AJ229" s="249"/>
      <c r="AK229" s="249"/>
      <c r="AL229" s="249"/>
      <c r="AQ229" s="249"/>
      <c r="AR229" s="249"/>
      <c r="AS229" s="249"/>
      <c r="AT229" s="249"/>
      <c r="AU229" s="249"/>
      <c r="AV229" s="249"/>
      <c r="AX229" s="249"/>
      <c r="AZ229" s="249"/>
      <c r="BB229" s="249"/>
      <c r="BC229" s="249"/>
      <c r="BD229" s="249"/>
      <c r="CB229" s="249"/>
      <c r="CC229" s="249"/>
      <c r="CD229" s="249"/>
      <c r="CE229" s="249"/>
      <c r="CM229" s="249"/>
      <c r="CN229" s="249"/>
      <c r="CO229" s="249"/>
      <c r="CP229" s="249"/>
    </row>
    <row r="230" spans="3:94">
      <c r="C230" s="287"/>
      <c r="D230" s="347"/>
      <c r="E230" s="347"/>
      <c r="F230" s="347"/>
      <c r="G230" s="347"/>
      <c r="H230" s="347"/>
      <c r="K230" s="249"/>
      <c r="O230" s="249"/>
      <c r="P230" s="347"/>
      <c r="X230" s="249"/>
      <c r="Y230" s="249"/>
      <c r="Z230" s="249"/>
      <c r="AA230" s="249"/>
      <c r="AB230" s="249"/>
      <c r="AC230" s="249"/>
      <c r="AD230" s="249"/>
      <c r="AE230" s="249"/>
      <c r="AF230" s="249"/>
      <c r="AG230" s="353"/>
      <c r="AH230" s="353"/>
      <c r="AI230" s="353"/>
      <c r="AJ230" s="249"/>
      <c r="AK230" s="249"/>
      <c r="AL230" s="249"/>
      <c r="AQ230" s="249"/>
      <c r="AR230" s="249"/>
      <c r="AS230" s="249"/>
      <c r="AT230" s="249"/>
      <c r="AU230" s="249"/>
      <c r="AV230" s="249"/>
      <c r="AX230" s="249"/>
      <c r="AZ230" s="249"/>
      <c r="BB230" s="249"/>
      <c r="BC230" s="249"/>
      <c r="BD230" s="249"/>
      <c r="CB230" s="249"/>
      <c r="CC230" s="249"/>
      <c r="CD230" s="249"/>
      <c r="CE230" s="249"/>
      <c r="CM230" s="249"/>
      <c r="CN230" s="249"/>
      <c r="CO230" s="249"/>
      <c r="CP230" s="249"/>
    </row>
    <row r="231" spans="3:94">
      <c r="C231" s="287"/>
      <c r="D231" s="347"/>
      <c r="E231" s="347"/>
      <c r="F231" s="347"/>
      <c r="G231" s="347"/>
      <c r="H231" s="347"/>
      <c r="K231" s="249"/>
      <c r="O231" s="249"/>
      <c r="P231" s="347"/>
      <c r="X231" s="249"/>
      <c r="Y231" s="249"/>
      <c r="Z231" s="249"/>
      <c r="AA231" s="249"/>
      <c r="AB231" s="249"/>
      <c r="AC231" s="249"/>
      <c r="AD231" s="249"/>
      <c r="AE231" s="249"/>
      <c r="AF231" s="249"/>
      <c r="AG231" s="353"/>
      <c r="AH231" s="353"/>
      <c r="AI231" s="353"/>
      <c r="AJ231" s="249"/>
      <c r="AK231" s="249"/>
      <c r="AL231" s="249"/>
      <c r="AQ231" s="249"/>
      <c r="AR231" s="249"/>
      <c r="AS231" s="249"/>
      <c r="AT231" s="249"/>
      <c r="AU231" s="249"/>
      <c r="AV231" s="249"/>
      <c r="AX231" s="249"/>
      <c r="AZ231" s="249"/>
      <c r="BB231" s="249"/>
      <c r="BC231" s="249"/>
      <c r="BD231" s="249"/>
      <c r="CB231" s="249"/>
      <c r="CC231" s="249"/>
      <c r="CD231" s="249"/>
      <c r="CE231" s="249"/>
      <c r="CM231" s="249"/>
      <c r="CN231" s="249"/>
      <c r="CO231" s="249"/>
      <c r="CP231" s="249"/>
    </row>
    <row r="232" spans="3:94">
      <c r="C232" s="287"/>
      <c r="D232" s="347"/>
      <c r="E232" s="347"/>
      <c r="F232" s="347"/>
      <c r="G232" s="347"/>
      <c r="H232" s="347"/>
      <c r="K232" s="249"/>
      <c r="O232" s="249"/>
      <c r="P232" s="347"/>
      <c r="X232" s="249"/>
      <c r="Y232" s="249"/>
      <c r="Z232" s="249"/>
      <c r="AA232" s="249"/>
      <c r="AB232" s="249"/>
      <c r="AC232" s="249"/>
      <c r="AD232" s="249"/>
      <c r="AE232" s="249"/>
      <c r="AF232" s="249"/>
      <c r="AG232" s="353"/>
      <c r="AH232" s="353"/>
      <c r="AI232" s="353"/>
      <c r="AJ232" s="249"/>
      <c r="AK232" s="249"/>
      <c r="AL232" s="249"/>
      <c r="AQ232" s="249"/>
      <c r="AR232" s="249"/>
      <c r="AS232" s="249"/>
      <c r="AT232" s="249"/>
      <c r="AU232" s="249"/>
      <c r="AV232" s="249"/>
      <c r="AX232" s="249"/>
      <c r="AZ232" s="249"/>
      <c r="BB232" s="249"/>
      <c r="BC232" s="249"/>
      <c r="BD232" s="249"/>
      <c r="CB232" s="249"/>
      <c r="CC232" s="249"/>
      <c r="CD232" s="249"/>
      <c r="CE232" s="249"/>
      <c r="CM232" s="249"/>
      <c r="CN232" s="249"/>
      <c r="CO232" s="249"/>
      <c r="CP232" s="249"/>
    </row>
    <row r="233" spans="3:94">
      <c r="C233" s="287"/>
      <c r="D233" s="347"/>
      <c r="E233" s="347"/>
      <c r="F233" s="347"/>
      <c r="G233" s="347"/>
      <c r="H233" s="347"/>
      <c r="K233" s="249"/>
      <c r="O233" s="249"/>
      <c r="P233" s="347"/>
      <c r="X233" s="249"/>
      <c r="Y233" s="249"/>
      <c r="Z233" s="249"/>
      <c r="AA233" s="249"/>
      <c r="AB233" s="249"/>
      <c r="AC233" s="249"/>
      <c r="AD233" s="249"/>
      <c r="AE233" s="249"/>
      <c r="AF233" s="249"/>
      <c r="AG233" s="353"/>
      <c r="AH233" s="353"/>
      <c r="AI233" s="353"/>
      <c r="AJ233" s="249"/>
      <c r="AK233" s="249"/>
      <c r="AL233" s="249"/>
      <c r="AQ233" s="249"/>
      <c r="AR233" s="249"/>
      <c r="AS233" s="249"/>
      <c r="AT233" s="249"/>
      <c r="AU233" s="249"/>
      <c r="AV233" s="249"/>
      <c r="AX233" s="249"/>
      <c r="AZ233" s="249"/>
      <c r="BB233" s="249"/>
      <c r="BC233" s="249"/>
      <c r="BD233" s="249"/>
      <c r="CB233" s="249"/>
      <c r="CC233" s="249"/>
      <c r="CD233" s="249"/>
      <c r="CE233" s="249"/>
      <c r="CM233" s="249"/>
      <c r="CN233" s="249"/>
      <c r="CO233" s="249"/>
      <c r="CP233" s="249"/>
    </row>
    <row r="234" spans="3:94">
      <c r="C234" s="287"/>
      <c r="D234" s="347"/>
      <c r="E234" s="347"/>
      <c r="F234" s="347"/>
      <c r="G234" s="347"/>
      <c r="H234" s="347"/>
      <c r="K234" s="249"/>
      <c r="O234" s="249"/>
      <c r="P234" s="347"/>
      <c r="X234" s="249"/>
      <c r="Y234" s="249"/>
      <c r="Z234" s="249"/>
      <c r="AA234" s="249"/>
      <c r="AB234" s="249"/>
      <c r="AC234" s="249"/>
      <c r="AD234" s="249"/>
      <c r="AE234" s="249"/>
      <c r="AF234" s="249"/>
      <c r="AG234" s="353"/>
      <c r="AH234" s="353"/>
      <c r="AI234" s="353"/>
      <c r="AJ234" s="249"/>
      <c r="AK234" s="249"/>
      <c r="AL234" s="249"/>
      <c r="AQ234" s="249"/>
      <c r="AR234" s="249"/>
      <c r="AS234" s="249"/>
      <c r="AT234" s="249"/>
      <c r="AU234" s="249"/>
      <c r="AV234" s="249"/>
      <c r="AX234" s="249"/>
      <c r="AZ234" s="249"/>
      <c r="BB234" s="249"/>
      <c r="BC234" s="249"/>
      <c r="BD234" s="249"/>
      <c r="CB234" s="249"/>
      <c r="CC234" s="249"/>
      <c r="CD234" s="249"/>
      <c r="CE234" s="249"/>
      <c r="CM234" s="249"/>
      <c r="CN234" s="249"/>
      <c r="CO234" s="249"/>
      <c r="CP234" s="249"/>
    </row>
    <row r="235" spans="3:94">
      <c r="C235" s="287"/>
      <c r="D235" s="347"/>
      <c r="E235" s="347"/>
      <c r="F235" s="347"/>
      <c r="G235" s="347"/>
      <c r="H235" s="347"/>
      <c r="K235" s="249"/>
      <c r="O235" s="249"/>
      <c r="P235" s="347"/>
      <c r="X235" s="249"/>
      <c r="Y235" s="249"/>
      <c r="Z235" s="249"/>
      <c r="AA235" s="249"/>
      <c r="AB235" s="249"/>
      <c r="AC235" s="249"/>
      <c r="AD235" s="249"/>
      <c r="AE235" s="249"/>
      <c r="AF235" s="249"/>
      <c r="AG235" s="353"/>
      <c r="AH235" s="353"/>
      <c r="AI235" s="353"/>
      <c r="AJ235" s="249"/>
      <c r="AK235" s="249"/>
      <c r="AL235" s="249"/>
      <c r="AQ235" s="249"/>
      <c r="AR235" s="249"/>
      <c r="AS235" s="249"/>
      <c r="AT235" s="249"/>
      <c r="AU235" s="249"/>
      <c r="AV235" s="249"/>
      <c r="AX235" s="249"/>
      <c r="AZ235" s="249"/>
      <c r="BB235" s="249"/>
      <c r="BC235" s="249"/>
      <c r="BD235" s="249"/>
      <c r="CB235" s="249"/>
      <c r="CC235" s="249"/>
      <c r="CD235" s="249"/>
      <c r="CE235" s="249"/>
      <c r="CM235" s="249"/>
      <c r="CN235" s="249"/>
      <c r="CO235" s="249"/>
      <c r="CP235" s="249"/>
    </row>
    <row r="236" spans="3:94">
      <c r="C236" s="287"/>
      <c r="D236" s="347"/>
      <c r="E236" s="347"/>
      <c r="F236" s="347"/>
      <c r="G236" s="347"/>
      <c r="H236" s="347"/>
      <c r="K236" s="249"/>
      <c r="O236" s="249"/>
      <c r="P236" s="347"/>
      <c r="X236" s="249"/>
      <c r="Y236" s="249"/>
      <c r="Z236" s="249"/>
      <c r="AA236" s="249"/>
      <c r="AB236" s="249"/>
      <c r="AC236" s="249"/>
      <c r="AD236" s="249"/>
      <c r="AE236" s="249"/>
      <c r="AF236" s="249"/>
      <c r="AG236" s="353"/>
      <c r="AH236" s="353"/>
      <c r="AI236" s="353"/>
      <c r="AJ236" s="249"/>
      <c r="AK236" s="249"/>
      <c r="AL236" s="249"/>
      <c r="AQ236" s="249"/>
      <c r="AR236" s="249"/>
      <c r="AS236" s="249"/>
      <c r="AT236" s="249"/>
      <c r="AU236" s="249"/>
      <c r="AV236" s="249"/>
      <c r="AX236" s="249"/>
      <c r="AZ236" s="249"/>
      <c r="BB236" s="249"/>
      <c r="BC236" s="249"/>
      <c r="BD236" s="249"/>
      <c r="CB236" s="249"/>
      <c r="CC236" s="249"/>
      <c r="CD236" s="249"/>
      <c r="CE236" s="249"/>
      <c r="CM236" s="249"/>
      <c r="CN236" s="249"/>
      <c r="CO236" s="249"/>
      <c r="CP236" s="249"/>
    </row>
    <row r="237" spans="3:94">
      <c r="C237" s="287"/>
      <c r="D237" s="347"/>
      <c r="E237" s="347"/>
      <c r="F237" s="347"/>
      <c r="G237" s="347"/>
      <c r="H237" s="347"/>
      <c r="K237" s="249"/>
      <c r="O237" s="249"/>
      <c r="P237" s="347"/>
      <c r="X237" s="249"/>
      <c r="Y237" s="249"/>
      <c r="Z237" s="249"/>
      <c r="AA237" s="249"/>
      <c r="AB237" s="249"/>
      <c r="AC237" s="249"/>
      <c r="AD237" s="249"/>
      <c r="AE237" s="249"/>
      <c r="AF237" s="249"/>
      <c r="AG237" s="353"/>
      <c r="AH237" s="353"/>
      <c r="AI237" s="353"/>
      <c r="AJ237" s="249"/>
      <c r="AK237" s="249"/>
      <c r="AL237" s="249"/>
      <c r="AQ237" s="249"/>
      <c r="AR237" s="249"/>
      <c r="AS237" s="249"/>
      <c r="AT237" s="249"/>
      <c r="AU237" s="249"/>
      <c r="AV237" s="249"/>
      <c r="AX237" s="249"/>
      <c r="AZ237" s="249"/>
      <c r="BB237" s="249"/>
      <c r="BC237" s="249"/>
      <c r="BD237" s="249"/>
      <c r="CB237" s="249"/>
      <c r="CC237" s="249"/>
      <c r="CD237" s="249"/>
      <c r="CE237" s="249"/>
      <c r="CM237" s="249"/>
      <c r="CN237" s="249"/>
      <c r="CO237" s="249"/>
      <c r="CP237" s="249"/>
    </row>
    <row r="238" spans="3:94">
      <c r="C238" s="287"/>
      <c r="D238" s="347"/>
      <c r="E238" s="347"/>
      <c r="F238" s="347"/>
      <c r="G238" s="347"/>
      <c r="H238" s="347"/>
      <c r="K238" s="249"/>
      <c r="O238" s="249"/>
      <c r="P238" s="347"/>
      <c r="X238" s="249"/>
      <c r="Y238" s="249"/>
      <c r="Z238" s="249"/>
      <c r="AA238" s="249"/>
      <c r="AB238" s="249"/>
      <c r="AC238" s="249"/>
      <c r="AD238" s="249"/>
      <c r="AE238" s="249"/>
      <c r="AF238" s="249"/>
      <c r="AG238" s="353"/>
      <c r="AH238" s="353"/>
      <c r="AI238" s="353"/>
      <c r="AJ238" s="249"/>
      <c r="AK238" s="249"/>
      <c r="AL238" s="249"/>
      <c r="AQ238" s="249"/>
      <c r="AR238" s="249"/>
      <c r="AS238" s="249"/>
      <c r="AT238" s="249"/>
      <c r="AU238" s="249"/>
      <c r="AV238" s="249"/>
      <c r="AX238" s="249"/>
      <c r="AZ238" s="249"/>
      <c r="BB238" s="249"/>
      <c r="BC238" s="249"/>
      <c r="BD238" s="249"/>
      <c r="CB238" s="249"/>
      <c r="CC238" s="249"/>
      <c r="CD238" s="249"/>
      <c r="CE238" s="249"/>
      <c r="CM238" s="249"/>
      <c r="CN238" s="249"/>
      <c r="CO238" s="249"/>
      <c r="CP238" s="249"/>
    </row>
    <row r="239" spans="3:94">
      <c r="C239" s="287"/>
      <c r="D239" s="347"/>
      <c r="E239" s="347"/>
      <c r="F239" s="347"/>
      <c r="G239" s="347"/>
      <c r="H239" s="347"/>
      <c r="K239" s="249"/>
      <c r="O239" s="249"/>
      <c r="P239" s="347"/>
      <c r="X239" s="249"/>
      <c r="Y239" s="249"/>
      <c r="Z239" s="249"/>
      <c r="AA239" s="249"/>
      <c r="AB239" s="249"/>
      <c r="AC239" s="249"/>
      <c r="AD239" s="249"/>
      <c r="AE239" s="249"/>
      <c r="AF239" s="249"/>
      <c r="AG239" s="353"/>
      <c r="AH239" s="353"/>
      <c r="AI239" s="353"/>
      <c r="AJ239" s="249"/>
      <c r="AK239" s="249"/>
      <c r="AL239" s="249"/>
      <c r="AQ239" s="249"/>
      <c r="AR239" s="249"/>
      <c r="AS239" s="249"/>
      <c r="AT239" s="249"/>
      <c r="AU239" s="249"/>
      <c r="AV239" s="249"/>
      <c r="AX239" s="249"/>
      <c r="AZ239" s="249"/>
      <c r="BB239" s="249"/>
      <c r="BC239" s="249"/>
      <c r="BD239" s="249"/>
      <c r="CB239" s="249"/>
      <c r="CC239" s="249"/>
      <c r="CD239" s="249"/>
      <c r="CE239" s="249"/>
      <c r="CM239" s="249"/>
      <c r="CN239" s="249"/>
      <c r="CO239" s="249"/>
      <c r="CP239" s="249"/>
    </row>
    <row r="240" spans="3:94">
      <c r="C240" s="287"/>
      <c r="D240" s="347"/>
      <c r="E240" s="347"/>
      <c r="F240" s="347"/>
      <c r="G240" s="347"/>
      <c r="H240" s="347"/>
      <c r="K240" s="249"/>
      <c r="O240" s="249"/>
      <c r="P240" s="347"/>
      <c r="X240" s="249"/>
      <c r="Y240" s="249"/>
      <c r="Z240" s="249"/>
      <c r="AA240" s="249"/>
      <c r="AB240" s="249"/>
      <c r="AC240" s="249"/>
      <c r="AD240" s="249"/>
      <c r="AE240" s="249"/>
      <c r="AF240" s="249"/>
      <c r="AG240" s="353"/>
      <c r="AH240" s="353"/>
      <c r="AI240" s="353"/>
      <c r="AJ240" s="249"/>
      <c r="AK240" s="249"/>
      <c r="AL240" s="249"/>
      <c r="AQ240" s="249"/>
      <c r="AR240" s="249"/>
      <c r="AS240" s="249"/>
      <c r="AT240" s="249"/>
      <c r="AU240" s="249"/>
      <c r="AV240" s="249"/>
      <c r="AX240" s="249"/>
      <c r="AZ240" s="249"/>
      <c r="BB240" s="249"/>
      <c r="BC240" s="249"/>
      <c r="BD240" s="249"/>
      <c r="CB240" s="249"/>
      <c r="CC240" s="249"/>
      <c r="CD240" s="249"/>
      <c r="CE240" s="249"/>
      <c r="CM240" s="249"/>
      <c r="CN240" s="249"/>
      <c r="CO240" s="249"/>
      <c r="CP240" s="249"/>
    </row>
    <row r="241" spans="3:94">
      <c r="C241" s="287"/>
      <c r="D241" s="347"/>
      <c r="E241" s="347"/>
      <c r="F241" s="347"/>
      <c r="G241" s="347"/>
      <c r="H241" s="347"/>
      <c r="K241" s="249"/>
      <c r="O241" s="249"/>
      <c r="P241" s="347"/>
      <c r="X241" s="249"/>
      <c r="Y241" s="249"/>
      <c r="Z241" s="249"/>
      <c r="AA241" s="249"/>
      <c r="AB241" s="249"/>
      <c r="AC241" s="249"/>
      <c r="AD241" s="249"/>
      <c r="AE241" s="249"/>
      <c r="AF241" s="249"/>
      <c r="AG241" s="353"/>
      <c r="AH241" s="353"/>
      <c r="AI241" s="353"/>
      <c r="AJ241" s="249"/>
      <c r="AK241" s="249"/>
      <c r="AL241" s="249"/>
      <c r="AQ241" s="249"/>
      <c r="AR241" s="249"/>
      <c r="AS241" s="249"/>
      <c r="AT241" s="249"/>
      <c r="AU241" s="249"/>
      <c r="AV241" s="249"/>
      <c r="AX241" s="249"/>
      <c r="AZ241" s="249"/>
      <c r="BB241" s="249"/>
      <c r="BC241" s="249"/>
      <c r="BD241" s="249"/>
      <c r="CB241" s="249"/>
      <c r="CC241" s="249"/>
      <c r="CD241" s="249"/>
      <c r="CE241" s="249"/>
      <c r="CM241" s="249"/>
      <c r="CN241" s="249"/>
      <c r="CO241" s="249"/>
      <c r="CP241" s="249"/>
    </row>
    <row r="242" spans="3:94">
      <c r="C242" s="287"/>
      <c r="D242" s="347"/>
      <c r="E242" s="347"/>
      <c r="F242" s="347"/>
      <c r="G242" s="347"/>
      <c r="H242" s="347"/>
      <c r="K242" s="249"/>
      <c r="O242" s="249"/>
      <c r="P242" s="347"/>
      <c r="X242" s="249"/>
      <c r="Y242" s="249"/>
      <c r="Z242" s="249"/>
      <c r="AA242" s="249"/>
      <c r="AB242" s="249"/>
      <c r="AC242" s="249"/>
      <c r="AD242" s="249"/>
      <c r="AE242" s="249"/>
      <c r="AF242" s="249"/>
      <c r="AG242" s="353"/>
      <c r="AH242" s="353"/>
      <c r="AI242" s="353"/>
      <c r="AJ242" s="249"/>
      <c r="AK242" s="249"/>
      <c r="AL242" s="249"/>
      <c r="AQ242" s="249"/>
      <c r="AR242" s="249"/>
      <c r="AS242" s="249"/>
      <c r="AT242" s="249"/>
      <c r="AU242" s="249"/>
      <c r="AV242" s="249"/>
      <c r="AX242" s="249"/>
      <c r="AZ242" s="249"/>
      <c r="BB242" s="249"/>
      <c r="BC242" s="249"/>
      <c r="BD242" s="249"/>
      <c r="CB242" s="249"/>
      <c r="CC242" s="249"/>
      <c r="CD242" s="249"/>
      <c r="CE242" s="249"/>
      <c r="CM242" s="249"/>
      <c r="CN242" s="249"/>
      <c r="CO242" s="249"/>
      <c r="CP242" s="249"/>
    </row>
    <row r="243" spans="3:94">
      <c r="C243" s="287"/>
      <c r="D243" s="347"/>
      <c r="E243" s="347"/>
      <c r="F243" s="347"/>
      <c r="G243" s="347"/>
      <c r="H243" s="347"/>
      <c r="K243" s="249"/>
      <c r="O243" s="249"/>
      <c r="P243" s="347"/>
      <c r="X243" s="249"/>
      <c r="Y243" s="249"/>
      <c r="Z243" s="249"/>
      <c r="AA243" s="249"/>
      <c r="AB243" s="249"/>
      <c r="AC243" s="249"/>
      <c r="AD243" s="249"/>
      <c r="AE243" s="249"/>
      <c r="AF243" s="249"/>
      <c r="AG243" s="353"/>
      <c r="AH243" s="353"/>
      <c r="AI243" s="353"/>
      <c r="AJ243" s="249"/>
      <c r="AK243" s="249"/>
      <c r="AL243" s="249"/>
      <c r="AQ243" s="249"/>
      <c r="AR243" s="249"/>
      <c r="AS243" s="249"/>
      <c r="AT243" s="249"/>
      <c r="AU243" s="249"/>
      <c r="AV243" s="249"/>
      <c r="AX243" s="249"/>
      <c r="AZ243" s="249"/>
      <c r="BB243" s="249"/>
      <c r="BC243" s="249"/>
      <c r="BD243" s="249"/>
      <c r="CB243" s="249"/>
      <c r="CC243" s="249"/>
      <c r="CD243" s="249"/>
      <c r="CE243" s="249"/>
      <c r="CM243" s="249"/>
      <c r="CN243" s="249"/>
      <c r="CO243" s="249"/>
      <c r="CP243" s="249"/>
    </row>
    <row r="244" spans="3:94">
      <c r="C244" s="287"/>
      <c r="D244" s="347"/>
      <c r="E244" s="347"/>
      <c r="F244" s="347"/>
      <c r="G244" s="347"/>
      <c r="H244" s="347"/>
      <c r="K244" s="249"/>
      <c r="O244" s="249"/>
      <c r="P244" s="347"/>
      <c r="X244" s="249"/>
      <c r="Y244" s="249"/>
      <c r="Z244" s="249"/>
      <c r="AA244" s="249"/>
      <c r="AB244" s="249"/>
      <c r="AC244" s="249"/>
      <c r="AD244" s="249"/>
      <c r="AE244" s="249"/>
      <c r="AF244" s="249"/>
      <c r="AG244" s="353"/>
      <c r="AH244" s="353"/>
      <c r="AI244" s="353"/>
      <c r="AJ244" s="249"/>
      <c r="AK244" s="249"/>
      <c r="AL244" s="249"/>
      <c r="AQ244" s="249"/>
      <c r="AR244" s="249"/>
      <c r="AS244" s="249"/>
      <c r="AT244" s="249"/>
      <c r="AU244" s="249"/>
      <c r="AV244" s="249"/>
      <c r="AX244" s="249"/>
      <c r="AZ244" s="249"/>
      <c r="BB244" s="249"/>
      <c r="BC244" s="249"/>
      <c r="BD244" s="249"/>
      <c r="CB244" s="249"/>
      <c r="CC244" s="249"/>
      <c r="CD244" s="249"/>
      <c r="CE244" s="249"/>
      <c r="CM244" s="249"/>
      <c r="CN244" s="249"/>
      <c r="CO244" s="249"/>
      <c r="CP244" s="249"/>
    </row>
    <row r="245" spans="3:94">
      <c r="C245" s="287"/>
      <c r="D245" s="347"/>
      <c r="E245" s="347"/>
      <c r="F245" s="347"/>
      <c r="G245" s="347"/>
      <c r="H245" s="347"/>
      <c r="K245" s="249"/>
      <c r="O245" s="249"/>
      <c r="P245" s="347"/>
      <c r="X245" s="249"/>
      <c r="Y245" s="249"/>
      <c r="Z245" s="249"/>
      <c r="AA245" s="249"/>
      <c r="AB245" s="249"/>
      <c r="AC245" s="249"/>
      <c r="AD245" s="249"/>
      <c r="AE245" s="249"/>
      <c r="AF245" s="249"/>
      <c r="AG245" s="353"/>
      <c r="AH245" s="353"/>
      <c r="AI245" s="353"/>
      <c r="AJ245" s="249"/>
      <c r="AK245" s="249"/>
      <c r="AL245" s="249"/>
      <c r="AQ245" s="249"/>
      <c r="AR245" s="249"/>
      <c r="AS245" s="249"/>
      <c r="AT245" s="249"/>
      <c r="AU245" s="249"/>
      <c r="AV245" s="249"/>
      <c r="AX245" s="249"/>
      <c r="AZ245" s="249"/>
      <c r="BB245" s="249"/>
      <c r="BC245" s="249"/>
      <c r="BD245" s="249"/>
      <c r="CB245" s="249"/>
      <c r="CC245" s="249"/>
      <c r="CD245" s="249"/>
      <c r="CE245" s="249"/>
      <c r="CM245" s="249"/>
      <c r="CN245" s="249"/>
      <c r="CO245" s="249"/>
      <c r="CP245" s="249"/>
    </row>
    <row r="246" spans="3:94">
      <c r="C246" s="287"/>
      <c r="D246" s="347"/>
      <c r="E246" s="347"/>
      <c r="F246" s="347"/>
      <c r="G246" s="347"/>
      <c r="H246" s="347"/>
      <c r="K246" s="249"/>
      <c r="O246" s="249"/>
      <c r="P246" s="347"/>
      <c r="X246" s="249"/>
      <c r="Y246" s="249"/>
      <c r="Z246" s="249"/>
      <c r="AA246" s="249"/>
      <c r="AB246" s="249"/>
      <c r="AC246" s="249"/>
      <c r="AD246" s="249"/>
      <c r="AE246" s="249"/>
      <c r="AF246" s="249"/>
      <c r="AG246" s="353"/>
      <c r="AH246" s="353"/>
      <c r="AI246" s="353"/>
      <c r="AJ246" s="249"/>
      <c r="AK246" s="249"/>
      <c r="AL246" s="249"/>
      <c r="AQ246" s="249"/>
      <c r="AR246" s="249"/>
      <c r="AS246" s="249"/>
      <c r="AT246" s="249"/>
      <c r="AU246" s="249"/>
      <c r="AV246" s="249"/>
      <c r="AX246" s="249"/>
      <c r="AZ246" s="249"/>
      <c r="BB246" s="249"/>
      <c r="BC246" s="249"/>
      <c r="BD246" s="249"/>
      <c r="CB246" s="249"/>
      <c r="CC246" s="249"/>
      <c r="CD246" s="249"/>
      <c r="CE246" s="249"/>
      <c r="CM246" s="249"/>
      <c r="CN246" s="249"/>
      <c r="CO246" s="249"/>
      <c r="CP246" s="249"/>
    </row>
    <row r="247" spans="3:94">
      <c r="C247" s="287"/>
      <c r="D247" s="347"/>
      <c r="E247" s="347"/>
      <c r="F247" s="347"/>
      <c r="G247" s="347"/>
      <c r="H247" s="347"/>
      <c r="K247" s="249"/>
      <c r="O247" s="249"/>
      <c r="P247" s="347"/>
      <c r="X247" s="249"/>
      <c r="Y247" s="249"/>
      <c r="Z247" s="249"/>
      <c r="AA247" s="249"/>
      <c r="AB247" s="249"/>
      <c r="AC247" s="249"/>
      <c r="AD247" s="249"/>
      <c r="AE247" s="249"/>
      <c r="AF247" s="249"/>
      <c r="AG247" s="353"/>
      <c r="AH247" s="353"/>
      <c r="AI247" s="353"/>
      <c r="AJ247" s="249"/>
      <c r="AK247" s="249"/>
      <c r="AL247" s="249"/>
      <c r="AQ247" s="249"/>
      <c r="AR247" s="249"/>
      <c r="AS247" s="249"/>
      <c r="AT247" s="249"/>
      <c r="AU247" s="249"/>
      <c r="AV247" s="249"/>
      <c r="AX247" s="249"/>
      <c r="AZ247" s="249"/>
      <c r="BB247" s="249"/>
      <c r="BC247" s="249"/>
      <c r="BD247" s="249"/>
      <c r="CB247" s="249"/>
      <c r="CC247" s="249"/>
      <c r="CD247" s="249"/>
      <c r="CE247" s="249"/>
      <c r="CM247" s="249"/>
      <c r="CN247" s="249"/>
      <c r="CO247" s="249"/>
      <c r="CP247" s="249"/>
    </row>
    <row r="248" spans="3:94">
      <c r="C248" s="287"/>
      <c r="D248" s="347"/>
      <c r="E248" s="347"/>
      <c r="F248" s="347"/>
      <c r="G248" s="347"/>
      <c r="H248" s="347"/>
      <c r="K248" s="249"/>
      <c r="O248" s="249"/>
      <c r="P248" s="347"/>
      <c r="X248" s="249"/>
      <c r="Y248" s="249"/>
      <c r="Z248" s="249"/>
      <c r="AA248" s="249"/>
      <c r="AB248" s="249"/>
      <c r="AC248" s="249"/>
      <c r="AD248" s="249"/>
      <c r="AE248" s="249"/>
      <c r="AF248" s="249"/>
      <c r="AG248" s="353"/>
      <c r="AH248" s="353"/>
      <c r="AI248" s="353"/>
      <c r="AJ248" s="249"/>
      <c r="AK248" s="249"/>
      <c r="AL248" s="249"/>
      <c r="AQ248" s="249"/>
      <c r="AR248" s="249"/>
      <c r="AS248" s="249"/>
      <c r="AT248" s="249"/>
      <c r="AU248" s="249"/>
      <c r="AV248" s="249"/>
      <c r="AX248" s="249"/>
      <c r="AZ248" s="249"/>
      <c r="BB248" s="249"/>
      <c r="BC248" s="249"/>
      <c r="BD248" s="249"/>
      <c r="CB248" s="249"/>
      <c r="CC248" s="249"/>
      <c r="CD248" s="249"/>
      <c r="CE248" s="249"/>
      <c r="CM248" s="249"/>
      <c r="CN248" s="249"/>
      <c r="CO248" s="249"/>
      <c r="CP248" s="249"/>
    </row>
    <row r="249" spans="3:94">
      <c r="C249" s="287"/>
      <c r="D249" s="347"/>
      <c r="E249" s="347"/>
      <c r="F249" s="347"/>
      <c r="G249" s="347"/>
      <c r="H249" s="347"/>
      <c r="K249" s="249"/>
      <c r="O249" s="249"/>
      <c r="P249" s="347"/>
      <c r="X249" s="249"/>
      <c r="Y249" s="249"/>
      <c r="Z249" s="249"/>
      <c r="AA249" s="249"/>
      <c r="AB249" s="249"/>
      <c r="AC249" s="249"/>
      <c r="AD249" s="249"/>
      <c r="AE249" s="249"/>
      <c r="AF249" s="249"/>
      <c r="AG249" s="353"/>
      <c r="AH249" s="353"/>
      <c r="AI249" s="353"/>
      <c r="AJ249" s="249"/>
      <c r="AK249" s="249"/>
      <c r="AL249" s="249"/>
      <c r="AQ249" s="249"/>
      <c r="AR249" s="249"/>
      <c r="AS249" s="249"/>
      <c r="AT249" s="249"/>
      <c r="AU249" s="249"/>
      <c r="AV249" s="249"/>
      <c r="AX249" s="249"/>
      <c r="AZ249" s="249"/>
      <c r="BB249" s="249"/>
      <c r="BC249" s="249"/>
      <c r="BD249" s="249"/>
      <c r="CB249" s="249"/>
      <c r="CC249" s="249"/>
      <c r="CD249" s="249"/>
      <c r="CE249" s="249"/>
      <c r="CM249" s="249"/>
      <c r="CN249" s="249"/>
      <c r="CO249" s="249"/>
      <c r="CP249" s="249"/>
    </row>
    <row r="250" spans="3:94">
      <c r="C250" s="287"/>
      <c r="D250" s="347"/>
      <c r="E250" s="347"/>
      <c r="F250" s="347"/>
      <c r="G250" s="347"/>
      <c r="H250" s="347"/>
      <c r="K250" s="249"/>
      <c r="O250" s="249"/>
      <c r="P250" s="347"/>
      <c r="X250" s="249"/>
      <c r="Y250" s="249"/>
      <c r="Z250" s="249"/>
      <c r="AA250" s="249"/>
      <c r="AB250" s="249"/>
      <c r="AC250" s="249"/>
      <c r="AD250" s="249"/>
      <c r="AE250" s="249"/>
      <c r="AF250" s="249"/>
      <c r="AG250" s="353"/>
      <c r="AH250" s="353"/>
      <c r="AI250" s="353"/>
      <c r="AJ250" s="249"/>
      <c r="AK250" s="249"/>
      <c r="AL250" s="249"/>
      <c r="AQ250" s="249"/>
      <c r="AR250" s="249"/>
      <c r="AS250" s="249"/>
      <c r="AT250" s="249"/>
      <c r="AU250" s="249"/>
      <c r="AV250" s="249"/>
      <c r="AX250" s="249"/>
      <c r="AZ250" s="249"/>
      <c r="BB250" s="249"/>
      <c r="BC250" s="249"/>
      <c r="BD250" s="249"/>
      <c r="CB250" s="249"/>
      <c r="CC250" s="249"/>
      <c r="CD250" s="249"/>
      <c r="CE250" s="249"/>
      <c r="CM250" s="249"/>
      <c r="CN250" s="249"/>
      <c r="CO250" s="249"/>
      <c r="CP250" s="249"/>
    </row>
    <row r="251" spans="3:94">
      <c r="C251" s="287"/>
      <c r="D251" s="347"/>
      <c r="E251" s="347"/>
      <c r="F251" s="347"/>
      <c r="G251" s="347"/>
      <c r="H251" s="347"/>
      <c r="K251" s="249"/>
      <c r="O251" s="249"/>
      <c r="P251" s="347"/>
      <c r="X251" s="249"/>
      <c r="Y251" s="249"/>
      <c r="Z251" s="249"/>
      <c r="AA251" s="249"/>
      <c r="AB251" s="249"/>
      <c r="AC251" s="249"/>
      <c r="AD251" s="249"/>
      <c r="AE251" s="249"/>
      <c r="AF251" s="249"/>
      <c r="AG251" s="353"/>
      <c r="AH251" s="353"/>
      <c r="AI251" s="353"/>
      <c r="AJ251" s="249"/>
      <c r="AK251" s="249"/>
      <c r="AL251" s="249"/>
      <c r="AQ251" s="249"/>
      <c r="AR251" s="249"/>
      <c r="AS251" s="249"/>
      <c r="AT251" s="249"/>
      <c r="AU251" s="249"/>
      <c r="AV251" s="249"/>
      <c r="AX251" s="249"/>
      <c r="AZ251" s="249"/>
      <c r="BB251" s="249"/>
      <c r="BC251" s="249"/>
      <c r="BD251" s="249"/>
      <c r="CB251" s="249"/>
      <c r="CC251" s="249"/>
      <c r="CD251" s="249"/>
      <c r="CE251" s="249"/>
      <c r="CM251" s="249"/>
      <c r="CN251" s="249"/>
      <c r="CO251" s="249"/>
      <c r="CP251" s="249"/>
    </row>
    <row r="252" spans="3:94">
      <c r="C252" s="287"/>
      <c r="D252" s="347"/>
      <c r="E252" s="347"/>
      <c r="F252" s="347"/>
      <c r="G252" s="347"/>
      <c r="H252" s="347"/>
      <c r="K252" s="249"/>
      <c r="O252" s="249"/>
      <c r="P252" s="347"/>
      <c r="X252" s="249"/>
      <c r="Y252" s="249"/>
      <c r="Z252" s="249"/>
      <c r="AA252" s="249"/>
      <c r="AB252" s="249"/>
      <c r="AC252" s="249"/>
      <c r="AD252" s="249"/>
      <c r="AE252" s="249"/>
      <c r="AF252" s="249"/>
      <c r="AG252" s="353"/>
      <c r="AH252" s="353"/>
      <c r="AI252" s="353"/>
      <c r="AJ252" s="249"/>
      <c r="AK252" s="249"/>
      <c r="AL252" s="249"/>
      <c r="AQ252" s="249"/>
      <c r="AR252" s="249"/>
      <c r="AS252" s="249"/>
      <c r="AT252" s="249"/>
      <c r="AU252" s="249"/>
      <c r="AV252" s="249"/>
      <c r="AX252" s="249"/>
      <c r="AZ252" s="249"/>
      <c r="BB252" s="249"/>
      <c r="BC252" s="249"/>
      <c r="BD252" s="249"/>
      <c r="CB252" s="249"/>
      <c r="CC252" s="249"/>
      <c r="CD252" s="249"/>
      <c r="CE252" s="249"/>
      <c r="CM252" s="249"/>
      <c r="CN252" s="249"/>
      <c r="CO252" s="249"/>
      <c r="CP252" s="249"/>
    </row>
    <row r="253" spans="3:94">
      <c r="C253" s="287"/>
      <c r="D253" s="347"/>
      <c r="E253" s="347"/>
      <c r="F253" s="347"/>
      <c r="G253" s="347"/>
      <c r="H253" s="347"/>
      <c r="K253" s="249"/>
      <c r="O253" s="249"/>
      <c r="P253" s="347"/>
      <c r="X253" s="249"/>
      <c r="Y253" s="249"/>
      <c r="Z253" s="249"/>
      <c r="AA253" s="249"/>
      <c r="AB253" s="249"/>
      <c r="AC253" s="249"/>
      <c r="AD253" s="249"/>
      <c r="AE253" s="249"/>
      <c r="AF253" s="249"/>
      <c r="AG253" s="353"/>
      <c r="AH253" s="353"/>
      <c r="AI253" s="353"/>
      <c r="AJ253" s="249"/>
      <c r="AK253" s="249"/>
      <c r="AL253" s="249"/>
      <c r="AQ253" s="249"/>
      <c r="AR253" s="249"/>
      <c r="AS253" s="249"/>
      <c r="AT253" s="249"/>
      <c r="AU253" s="249"/>
      <c r="AV253" s="249"/>
      <c r="AX253" s="249"/>
      <c r="AZ253" s="249"/>
      <c r="BB253" s="249"/>
      <c r="BC253" s="249"/>
      <c r="BD253" s="249"/>
      <c r="CB253" s="249"/>
      <c r="CC253" s="249"/>
      <c r="CD253" s="249"/>
      <c r="CE253" s="249"/>
      <c r="CM253" s="249"/>
      <c r="CN253" s="249"/>
      <c r="CO253" s="249"/>
      <c r="CP253" s="249"/>
    </row>
    <row r="254" spans="3:94">
      <c r="C254" s="287"/>
      <c r="D254" s="347"/>
      <c r="E254" s="347"/>
      <c r="F254" s="347"/>
      <c r="G254" s="347"/>
      <c r="H254" s="347"/>
      <c r="K254" s="249"/>
      <c r="O254" s="249"/>
      <c r="P254" s="347"/>
      <c r="X254" s="249"/>
      <c r="Y254" s="249"/>
      <c r="Z254" s="249"/>
      <c r="AA254" s="249"/>
      <c r="AB254" s="249"/>
      <c r="AC254" s="249"/>
      <c r="AD254" s="249"/>
      <c r="AE254" s="249"/>
      <c r="AF254" s="249"/>
      <c r="AG254" s="353"/>
      <c r="AH254" s="353"/>
      <c r="AI254" s="353"/>
      <c r="AJ254" s="249"/>
      <c r="AK254" s="249"/>
      <c r="AL254" s="249"/>
      <c r="AQ254" s="249"/>
      <c r="AR254" s="249"/>
      <c r="AS254" s="249"/>
      <c r="AT254" s="249"/>
      <c r="AU254" s="249"/>
      <c r="AV254" s="249"/>
      <c r="AX254" s="249"/>
      <c r="AZ254" s="249"/>
      <c r="BB254" s="249"/>
      <c r="BC254" s="249"/>
      <c r="BD254" s="249"/>
      <c r="CB254" s="249"/>
      <c r="CC254" s="249"/>
      <c r="CD254" s="249"/>
      <c r="CE254" s="249"/>
      <c r="CM254" s="249"/>
      <c r="CN254" s="249"/>
      <c r="CO254" s="249"/>
      <c r="CP254" s="249"/>
    </row>
    <row r="255" spans="3:94">
      <c r="C255" s="287"/>
      <c r="D255" s="347"/>
      <c r="E255" s="347"/>
      <c r="F255" s="347"/>
      <c r="G255" s="347"/>
      <c r="H255" s="347"/>
      <c r="K255" s="249"/>
      <c r="O255" s="249"/>
      <c r="P255" s="347"/>
      <c r="X255" s="249"/>
      <c r="Y255" s="249"/>
      <c r="Z255" s="249"/>
      <c r="AA255" s="249"/>
      <c r="AB255" s="249"/>
      <c r="AC255" s="249"/>
      <c r="AD255" s="249"/>
      <c r="AE255" s="249"/>
      <c r="AF255" s="249"/>
      <c r="AG255" s="353"/>
      <c r="AH255" s="353"/>
      <c r="AI255" s="353"/>
      <c r="AJ255" s="249"/>
      <c r="AK255" s="249"/>
      <c r="AL255" s="249"/>
      <c r="AQ255" s="249"/>
      <c r="AR255" s="249"/>
      <c r="AS255" s="249"/>
      <c r="AT255" s="249"/>
      <c r="AU255" s="249"/>
      <c r="AV255" s="249"/>
      <c r="AX255" s="249"/>
      <c r="AZ255" s="249"/>
      <c r="BB255" s="249"/>
      <c r="BC255" s="249"/>
      <c r="BD255" s="249"/>
      <c r="CB255" s="249"/>
      <c r="CC255" s="249"/>
      <c r="CD255" s="249"/>
      <c r="CE255" s="249"/>
      <c r="CM255" s="249"/>
      <c r="CN255" s="249"/>
      <c r="CO255" s="249"/>
      <c r="CP255" s="249"/>
    </row>
    <row r="256" spans="3:94">
      <c r="C256" s="287"/>
      <c r="D256" s="347"/>
      <c r="E256" s="347"/>
      <c r="F256" s="347"/>
      <c r="G256" s="347"/>
      <c r="H256" s="347"/>
      <c r="K256" s="249"/>
      <c r="O256" s="249"/>
      <c r="P256" s="347"/>
      <c r="X256" s="249"/>
      <c r="Y256" s="249"/>
      <c r="Z256" s="249"/>
      <c r="AA256" s="249"/>
      <c r="AB256" s="249"/>
      <c r="AC256" s="249"/>
      <c r="AD256" s="249"/>
      <c r="AE256" s="249"/>
      <c r="AF256" s="249"/>
      <c r="AG256" s="353"/>
      <c r="AH256" s="353"/>
      <c r="AI256" s="353"/>
      <c r="AJ256" s="249"/>
      <c r="AK256" s="249"/>
      <c r="AL256" s="249"/>
      <c r="AQ256" s="249"/>
      <c r="AR256" s="249"/>
      <c r="AS256" s="249"/>
      <c r="AT256" s="249"/>
      <c r="AU256" s="249"/>
      <c r="AV256" s="249"/>
      <c r="AX256" s="249"/>
      <c r="AZ256" s="249"/>
      <c r="BB256" s="249"/>
      <c r="BC256" s="249"/>
      <c r="BD256" s="249"/>
      <c r="CB256" s="249"/>
      <c r="CC256" s="249"/>
      <c r="CD256" s="249"/>
      <c r="CE256" s="249"/>
      <c r="CM256" s="249"/>
      <c r="CN256" s="249"/>
      <c r="CO256" s="249"/>
      <c r="CP256" s="249"/>
    </row>
    <row r="257" spans="3:94">
      <c r="C257" s="287"/>
      <c r="D257" s="347"/>
      <c r="E257" s="347"/>
      <c r="F257" s="347"/>
      <c r="G257" s="347"/>
      <c r="H257" s="347"/>
      <c r="K257" s="249"/>
      <c r="O257" s="249"/>
      <c r="P257" s="347"/>
      <c r="X257" s="249"/>
      <c r="Y257" s="249"/>
      <c r="Z257" s="249"/>
      <c r="AA257" s="249"/>
      <c r="AB257" s="249"/>
      <c r="AC257" s="249"/>
      <c r="AD257" s="249"/>
      <c r="AE257" s="249"/>
      <c r="AF257" s="249"/>
      <c r="AG257" s="353"/>
      <c r="AH257" s="353"/>
      <c r="AI257" s="353"/>
      <c r="AJ257" s="249"/>
      <c r="AK257" s="249"/>
      <c r="AL257" s="249"/>
      <c r="AQ257" s="249"/>
      <c r="AR257" s="249"/>
      <c r="AS257" s="249"/>
      <c r="AT257" s="249"/>
      <c r="AU257" s="249"/>
      <c r="AV257" s="249"/>
      <c r="AX257" s="249"/>
      <c r="AZ257" s="249"/>
      <c r="BB257" s="249"/>
      <c r="BC257" s="249"/>
      <c r="BD257" s="249"/>
      <c r="CB257" s="249"/>
      <c r="CC257" s="249"/>
      <c r="CD257" s="249"/>
      <c r="CE257" s="249"/>
      <c r="CM257" s="249"/>
      <c r="CN257" s="249"/>
      <c r="CO257" s="249"/>
      <c r="CP257" s="249"/>
    </row>
    <row r="258" spans="3:94">
      <c r="C258" s="287"/>
      <c r="D258" s="347"/>
      <c r="E258" s="347"/>
      <c r="F258" s="347"/>
      <c r="G258" s="347"/>
      <c r="H258" s="347"/>
      <c r="K258" s="249"/>
      <c r="O258" s="249"/>
      <c r="P258" s="347"/>
      <c r="X258" s="249"/>
      <c r="Y258" s="249"/>
      <c r="Z258" s="249"/>
      <c r="AA258" s="249"/>
      <c r="AB258" s="249"/>
      <c r="AC258" s="249"/>
      <c r="AD258" s="249"/>
      <c r="AE258" s="249"/>
      <c r="AF258" s="249"/>
      <c r="AG258" s="353"/>
      <c r="AH258" s="353"/>
      <c r="AI258" s="353"/>
      <c r="AJ258" s="249"/>
      <c r="AK258" s="249"/>
      <c r="AL258" s="249"/>
      <c r="AQ258" s="249"/>
      <c r="AR258" s="249"/>
      <c r="AS258" s="249"/>
      <c r="AT258" s="249"/>
      <c r="AU258" s="249"/>
      <c r="AV258" s="249"/>
      <c r="AX258" s="249"/>
      <c r="AZ258" s="249"/>
      <c r="BB258" s="249"/>
      <c r="BC258" s="249"/>
      <c r="BD258" s="249"/>
      <c r="CB258" s="249"/>
      <c r="CC258" s="249"/>
      <c r="CD258" s="249"/>
      <c r="CE258" s="249"/>
      <c r="CM258" s="249"/>
      <c r="CN258" s="249"/>
      <c r="CO258" s="249"/>
      <c r="CP258" s="249"/>
    </row>
    <row r="259" spans="3:94">
      <c r="C259" s="287"/>
      <c r="D259" s="347"/>
      <c r="E259" s="347"/>
      <c r="F259" s="347"/>
      <c r="G259" s="347"/>
      <c r="H259" s="347"/>
      <c r="K259" s="249"/>
      <c r="O259" s="249"/>
      <c r="P259" s="347"/>
      <c r="X259" s="249"/>
      <c r="Y259" s="249"/>
      <c r="Z259" s="249"/>
      <c r="AA259" s="249"/>
      <c r="AB259" s="249"/>
      <c r="AC259" s="249"/>
      <c r="AD259" s="249"/>
      <c r="AE259" s="249"/>
      <c r="AF259" s="249"/>
      <c r="AG259" s="353"/>
      <c r="AH259" s="353"/>
      <c r="AI259" s="353"/>
      <c r="AJ259" s="249"/>
      <c r="AK259" s="249"/>
      <c r="AL259" s="249"/>
      <c r="AQ259" s="249"/>
      <c r="AR259" s="249"/>
      <c r="AS259" s="249"/>
      <c r="AT259" s="249"/>
      <c r="AU259" s="249"/>
      <c r="AV259" s="249"/>
      <c r="AX259" s="249"/>
      <c r="AZ259" s="249"/>
      <c r="BB259" s="249"/>
      <c r="BC259" s="249"/>
      <c r="BD259" s="249"/>
      <c r="CB259" s="249"/>
      <c r="CC259" s="249"/>
      <c r="CD259" s="249"/>
      <c r="CE259" s="249"/>
      <c r="CM259" s="249"/>
      <c r="CN259" s="249"/>
      <c r="CO259" s="249"/>
      <c r="CP259" s="249"/>
    </row>
    <row r="260" spans="3:94">
      <c r="C260" s="287"/>
      <c r="D260" s="347"/>
      <c r="E260" s="347"/>
      <c r="F260" s="347"/>
      <c r="G260" s="347"/>
      <c r="H260" s="347"/>
      <c r="K260" s="249"/>
      <c r="O260" s="249"/>
      <c r="P260" s="347"/>
      <c r="X260" s="249"/>
      <c r="Y260" s="249"/>
      <c r="Z260" s="249"/>
      <c r="AA260" s="249"/>
      <c r="AB260" s="249"/>
      <c r="AC260" s="249"/>
      <c r="AD260" s="249"/>
      <c r="AE260" s="249"/>
      <c r="AF260" s="249"/>
      <c r="AG260" s="353"/>
      <c r="AH260" s="353"/>
      <c r="AI260" s="353"/>
      <c r="AJ260" s="249"/>
      <c r="AK260" s="249"/>
      <c r="AL260" s="249"/>
      <c r="AQ260" s="249"/>
      <c r="AR260" s="249"/>
      <c r="AS260" s="249"/>
      <c r="AT260" s="249"/>
      <c r="AU260" s="249"/>
      <c r="AV260" s="249"/>
      <c r="AX260" s="249"/>
      <c r="AZ260" s="249"/>
      <c r="BB260" s="249"/>
      <c r="BC260" s="249"/>
      <c r="BD260" s="249"/>
      <c r="CB260" s="249"/>
      <c r="CC260" s="249"/>
      <c r="CD260" s="249"/>
      <c r="CE260" s="249"/>
      <c r="CM260" s="249"/>
      <c r="CN260" s="249"/>
      <c r="CO260" s="249"/>
      <c r="CP260" s="249"/>
    </row>
    <row r="261" spans="3:94">
      <c r="C261" s="287"/>
      <c r="D261" s="347"/>
      <c r="E261" s="347"/>
      <c r="F261" s="347"/>
      <c r="G261" s="347"/>
      <c r="H261" s="347"/>
      <c r="K261" s="249"/>
      <c r="O261" s="249"/>
      <c r="P261" s="347"/>
      <c r="X261" s="249"/>
      <c r="Y261" s="249"/>
      <c r="Z261" s="249"/>
      <c r="AA261" s="249"/>
      <c r="AB261" s="249"/>
      <c r="AC261" s="249"/>
      <c r="AD261" s="249"/>
      <c r="AE261" s="249"/>
      <c r="AF261" s="249"/>
      <c r="AG261" s="353"/>
      <c r="AH261" s="353"/>
      <c r="AI261" s="353"/>
      <c r="AJ261" s="249"/>
      <c r="AK261" s="249"/>
      <c r="AL261" s="249"/>
      <c r="AQ261" s="249"/>
      <c r="AR261" s="249"/>
      <c r="AS261" s="249"/>
      <c r="AT261" s="249"/>
      <c r="AU261" s="249"/>
      <c r="AV261" s="249"/>
      <c r="AX261" s="249"/>
      <c r="AZ261" s="249"/>
      <c r="BB261" s="249"/>
      <c r="BC261" s="249"/>
      <c r="BD261" s="249"/>
      <c r="CB261" s="249"/>
      <c r="CC261" s="249"/>
      <c r="CD261" s="249"/>
      <c r="CE261" s="249"/>
      <c r="CM261" s="249"/>
      <c r="CN261" s="249"/>
      <c r="CO261" s="249"/>
      <c r="CP261" s="249"/>
    </row>
    <row r="262" spans="3:94">
      <c r="C262" s="287"/>
      <c r="D262" s="347"/>
      <c r="E262" s="347"/>
      <c r="F262" s="347"/>
      <c r="G262" s="347"/>
      <c r="H262" s="347"/>
      <c r="K262" s="249"/>
      <c r="O262" s="249"/>
      <c r="P262" s="347"/>
      <c r="X262" s="249"/>
      <c r="Y262" s="249"/>
      <c r="Z262" s="249"/>
      <c r="AA262" s="249"/>
      <c r="AB262" s="249"/>
      <c r="AC262" s="249"/>
      <c r="AD262" s="249"/>
      <c r="AE262" s="249"/>
      <c r="AF262" s="249"/>
      <c r="AG262" s="353"/>
      <c r="AH262" s="353"/>
      <c r="AI262" s="353"/>
      <c r="AJ262" s="249"/>
      <c r="AK262" s="249"/>
      <c r="AL262" s="249"/>
      <c r="AQ262" s="249"/>
      <c r="AR262" s="249"/>
      <c r="AS262" s="249"/>
      <c r="AT262" s="249"/>
      <c r="AU262" s="249"/>
      <c r="AV262" s="249"/>
      <c r="AX262" s="249"/>
      <c r="AZ262" s="249"/>
      <c r="BB262" s="249"/>
      <c r="BC262" s="249"/>
      <c r="BD262" s="249"/>
      <c r="CB262" s="249"/>
      <c r="CC262" s="249"/>
      <c r="CD262" s="249"/>
      <c r="CE262" s="249"/>
      <c r="CM262" s="249"/>
      <c r="CN262" s="249"/>
      <c r="CO262" s="249"/>
      <c r="CP262" s="249"/>
    </row>
    <row r="263" spans="3:94">
      <c r="C263" s="287"/>
      <c r="D263" s="347"/>
      <c r="E263" s="347"/>
      <c r="F263" s="347"/>
      <c r="G263" s="347"/>
      <c r="H263" s="347"/>
      <c r="K263" s="249"/>
      <c r="O263" s="249"/>
      <c r="P263" s="347"/>
      <c r="X263" s="249"/>
      <c r="Y263" s="249"/>
      <c r="Z263" s="249"/>
      <c r="AA263" s="249"/>
      <c r="AB263" s="249"/>
      <c r="AC263" s="249"/>
      <c r="AD263" s="249"/>
      <c r="AE263" s="249"/>
      <c r="AF263" s="249"/>
      <c r="AG263" s="353"/>
      <c r="AH263" s="353"/>
      <c r="AI263" s="353"/>
      <c r="AJ263" s="249"/>
      <c r="AK263" s="249"/>
      <c r="AL263" s="249"/>
      <c r="AQ263" s="249"/>
      <c r="AR263" s="249"/>
      <c r="AS263" s="249"/>
      <c r="AT263" s="249"/>
      <c r="AU263" s="249"/>
      <c r="AV263" s="249"/>
      <c r="AX263" s="249"/>
      <c r="AZ263" s="249"/>
      <c r="BB263" s="249"/>
      <c r="BC263" s="249"/>
      <c r="BD263" s="249"/>
      <c r="CB263" s="249"/>
      <c r="CC263" s="249"/>
      <c r="CD263" s="249"/>
      <c r="CE263" s="249"/>
      <c r="CM263" s="249"/>
      <c r="CN263" s="249"/>
      <c r="CO263" s="249"/>
      <c r="CP263" s="249"/>
    </row>
    <row r="264" spans="3:94">
      <c r="C264" s="287"/>
      <c r="D264" s="347"/>
      <c r="E264" s="347"/>
      <c r="F264" s="347"/>
      <c r="G264" s="347"/>
      <c r="H264" s="347"/>
      <c r="K264" s="249"/>
      <c r="O264" s="249"/>
      <c r="P264" s="347"/>
      <c r="X264" s="249"/>
      <c r="Y264" s="249"/>
      <c r="Z264" s="249"/>
      <c r="AA264" s="249"/>
      <c r="AB264" s="249"/>
      <c r="AC264" s="249"/>
      <c r="AD264" s="249"/>
      <c r="AE264" s="249"/>
      <c r="AF264" s="249"/>
      <c r="AG264" s="353"/>
      <c r="AH264" s="353"/>
      <c r="AI264" s="353"/>
      <c r="AJ264" s="249"/>
      <c r="AK264" s="249"/>
      <c r="AL264" s="249"/>
      <c r="AQ264" s="249"/>
      <c r="AR264" s="249"/>
      <c r="AS264" s="249"/>
      <c r="AT264" s="249"/>
      <c r="AU264" s="249"/>
      <c r="AV264" s="249"/>
      <c r="AX264" s="249"/>
      <c r="AZ264" s="249"/>
      <c r="BB264" s="249"/>
      <c r="BC264" s="249"/>
      <c r="BD264" s="249"/>
      <c r="CB264" s="249"/>
      <c r="CC264" s="249"/>
      <c r="CD264" s="249"/>
      <c r="CE264" s="249"/>
      <c r="CM264" s="249"/>
      <c r="CN264" s="249"/>
      <c r="CO264" s="249"/>
      <c r="CP264" s="249"/>
    </row>
    <row r="265" spans="3:94">
      <c r="C265" s="287"/>
      <c r="D265" s="347"/>
      <c r="E265" s="347"/>
      <c r="F265" s="347"/>
      <c r="G265" s="347"/>
      <c r="H265" s="347"/>
      <c r="K265" s="249"/>
      <c r="O265" s="249"/>
      <c r="P265" s="347"/>
      <c r="X265" s="249"/>
      <c r="Y265" s="249"/>
      <c r="Z265" s="249"/>
      <c r="AA265" s="249"/>
      <c r="AB265" s="249"/>
      <c r="AC265" s="249"/>
      <c r="AD265" s="249"/>
      <c r="AE265" s="249"/>
      <c r="AF265" s="249"/>
      <c r="AG265" s="353"/>
      <c r="AH265" s="353"/>
      <c r="AI265" s="353"/>
      <c r="AJ265" s="249"/>
      <c r="AK265" s="249"/>
      <c r="AL265" s="249"/>
      <c r="AQ265" s="249"/>
      <c r="AR265" s="249"/>
      <c r="AS265" s="249"/>
      <c r="AT265" s="249"/>
      <c r="AU265" s="249"/>
      <c r="AV265" s="249"/>
      <c r="AX265" s="249"/>
      <c r="AZ265" s="249"/>
      <c r="BB265" s="249"/>
      <c r="BC265" s="249"/>
      <c r="BD265" s="249"/>
      <c r="CB265" s="249"/>
      <c r="CC265" s="249"/>
      <c r="CD265" s="249"/>
      <c r="CE265" s="249"/>
      <c r="CM265" s="249"/>
      <c r="CN265" s="249"/>
      <c r="CO265" s="249"/>
      <c r="CP265" s="249"/>
    </row>
    <row r="266" spans="3:94">
      <c r="C266" s="287"/>
      <c r="D266" s="347"/>
      <c r="E266" s="347"/>
      <c r="F266" s="347"/>
      <c r="G266" s="347"/>
      <c r="H266" s="347"/>
      <c r="K266" s="249"/>
      <c r="O266" s="249"/>
      <c r="P266" s="347"/>
      <c r="X266" s="249"/>
      <c r="Y266" s="249"/>
      <c r="Z266" s="249"/>
      <c r="AA266" s="249"/>
      <c r="AB266" s="249"/>
      <c r="AC266" s="249"/>
      <c r="AD266" s="249"/>
      <c r="AE266" s="249"/>
      <c r="AF266" s="249"/>
      <c r="AG266" s="353"/>
      <c r="AH266" s="353"/>
      <c r="AI266" s="353"/>
      <c r="AJ266" s="249"/>
      <c r="AK266" s="249"/>
      <c r="AL266" s="249"/>
      <c r="AQ266" s="249"/>
      <c r="AR266" s="249"/>
      <c r="AS266" s="249"/>
      <c r="AT266" s="249"/>
      <c r="AU266" s="249"/>
      <c r="AV266" s="249"/>
      <c r="AX266" s="249"/>
      <c r="AZ266" s="249"/>
      <c r="BB266" s="249"/>
      <c r="BC266" s="249"/>
      <c r="BD266" s="249"/>
      <c r="CB266" s="249"/>
      <c r="CC266" s="249"/>
      <c r="CD266" s="249"/>
      <c r="CE266" s="249"/>
      <c r="CM266" s="249"/>
      <c r="CN266" s="249"/>
      <c r="CO266" s="249"/>
      <c r="CP266" s="249"/>
    </row>
    <row r="267" spans="3:94">
      <c r="C267" s="287"/>
      <c r="D267" s="347"/>
      <c r="E267" s="347"/>
      <c r="F267" s="347"/>
      <c r="G267" s="347"/>
      <c r="H267" s="347"/>
      <c r="K267" s="249"/>
      <c r="O267" s="249"/>
      <c r="P267" s="347"/>
      <c r="X267" s="249"/>
      <c r="Y267" s="249"/>
      <c r="Z267" s="249"/>
      <c r="AA267" s="249"/>
      <c r="AB267" s="249"/>
      <c r="AC267" s="249"/>
      <c r="AD267" s="249"/>
      <c r="AE267" s="249"/>
      <c r="AF267" s="249"/>
      <c r="AG267" s="353"/>
      <c r="AH267" s="353"/>
      <c r="AI267" s="353"/>
      <c r="AJ267" s="249"/>
      <c r="AK267" s="249"/>
      <c r="AL267" s="249"/>
      <c r="AQ267" s="249"/>
      <c r="AR267" s="249"/>
      <c r="AS267" s="249"/>
      <c r="AT267" s="249"/>
      <c r="AU267" s="249"/>
      <c r="AV267" s="249"/>
      <c r="AX267" s="249"/>
      <c r="AZ267" s="249"/>
      <c r="BB267" s="249"/>
      <c r="BC267" s="249"/>
      <c r="BD267" s="249"/>
      <c r="CB267" s="249"/>
      <c r="CC267" s="249"/>
      <c r="CD267" s="249"/>
      <c r="CE267" s="249"/>
      <c r="CM267" s="249"/>
      <c r="CN267" s="249"/>
      <c r="CO267" s="249"/>
      <c r="CP267" s="249"/>
    </row>
    <row r="268" spans="3:94">
      <c r="C268" s="287"/>
      <c r="D268" s="347"/>
      <c r="E268" s="347"/>
      <c r="F268" s="347"/>
      <c r="G268" s="347"/>
      <c r="H268" s="347"/>
      <c r="K268" s="249"/>
      <c r="O268" s="249"/>
      <c r="P268" s="347"/>
      <c r="X268" s="249"/>
      <c r="Y268" s="249"/>
      <c r="Z268" s="249"/>
      <c r="AA268" s="249"/>
      <c r="AB268" s="249"/>
      <c r="AC268" s="249"/>
      <c r="AD268" s="249"/>
      <c r="AE268" s="249"/>
      <c r="AF268" s="249"/>
      <c r="AG268" s="353"/>
      <c r="AH268" s="353"/>
      <c r="AI268" s="353"/>
      <c r="AJ268" s="249"/>
      <c r="AK268" s="249"/>
      <c r="AL268" s="249"/>
      <c r="AQ268" s="249"/>
      <c r="AR268" s="249"/>
      <c r="AS268" s="249"/>
      <c r="AT268" s="249"/>
      <c r="AU268" s="249"/>
      <c r="AV268" s="249"/>
      <c r="AX268" s="249"/>
      <c r="AZ268" s="249"/>
      <c r="BB268" s="249"/>
      <c r="BC268" s="249"/>
      <c r="BD268" s="249"/>
      <c r="CB268" s="249"/>
      <c r="CC268" s="249"/>
      <c r="CD268" s="249"/>
      <c r="CE268" s="249"/>
      <c r="CM268" s="249"/>
      <c r="CN268" s="249"/>
      <c r="CO268" s="249"/>
      <c r="CP268" s="249"/>
    </row>
    <row r="269" spans="3:94">
      <c r="C269" s="287"/>
      <c r="D269" s="347"/>
      <c r="E269" s="347"/>
      <c r="F269" s="347"/>
      <c r="G269" s="347"/>
      <c r="H269" s="347"/>
      <c r="K269" s="249"/>
      <c r="O269" s="249"/>
      <c r="P269" s="347"/>
      <c r="X269" s="249"/>
      <c r="Y269" s="249"/>
      <c r="Z269" s="249"/>
      <c r="AA269" s="249"/>
      <c r="AB269" s="249"/>
      <c r="AC269" s="249"/>
      <c r="AD269" s="249"/>
      <c r="AE269" s="249"/>
      <c r="AF269" s="249"/>
      <c r="AG269" s="353"/>
      <c r="AH269" s="353"/>
      <c r="AI269" s="353"/>
      <c r="AJ269" s="249"/>
      <c r="AK269" s="249"/>
      <c r="AL269" s="249"/>
      <c r="AQ269" s="249"/>
      <c r="AR269" s="249"/>
      <c r="AS269" s="249"/>
      <c r="AT269" s="249"/>
      <c r="AU269" s="249"/>
      <c r="AV269" s="249"/>
      <c r="AX269" s="249"/>
      <c r="AZ269" s="249"/>
      <c r="BB269" s="249"/>
      <c r="BC269" s="249"/>
      <c r="BD269" s="249"/>
      <c r="CB269" s="249"/>
      <c r="CC269" s="249"/>
      <c r="CD269" s="249"/>
      <c r="CE269" s="249"/>
      <c r="CM269" s="249"/>
      <c r="CN269" s="249"/>
      <c r="CO269" s="249"/>
      <c r="CP269" s="249"/>
    </row>
    <row r="270" spans="3:94">
      <c r="C270" s="287"/>
      <c r="D270" s="347"/>
      <c r="E270" s="347"/>
      <c r="F270" s="347"/>
      <c r="G270" s="347"/>
      <c r="H270" s="347"/>
      <c r="K270" s="249"/>
      <c r="O270" s="249"/>
      <c r="P270" s="347"/>
      <c r="X270" s="249"/>
      <c r="Y270" s="249"/>
      <c r="Z270" s="249"/>
      <c r="AA270" s="249"/>
      <c r="AB270" s="249"/>
      <c r="AC270" s="249"/>
      <c r="AD270" s="249"/>
      <c r="AE270" s="249"/>
      <c r="AF270" s="249"/>
      <c r="AG270" s="353"/>
      <c r="AH270" s="353"/>
      <c r="AI270" s="353"/>
      <c r="AJ270" s="249"/>
      <c r="AK270" s="249"/>
      <c r="AL270" s="249"/>
      <c r="AQ270" s="249"/>
      <c r="AR270" s="249"/>
      <c r="AS270" s="249"/>
      <c r="AT270" s="249"/>
      <c r="AU270" s="249"/>
      <c r="AV270" s="249"/>
      <c r="AX270" s="249"/>
      <c r="AZ270" s="249"/>
      <c r="BB270" s="249"/>
      <c r="BC270" s="249"/>
      <c r="BD270" s="249"/>
      <c r="CB270" s="249"/>
      <c r="CC270" s="249"/>
      <c r="CD270" s="249"/>
      <c r="CE270" s="249"/>
      <c r="CM270" s="249"/>
      <c r="CN270" s="249"/>
      <c r="CO270" s="249"/>
      <c r="CP270" s="249"/>
    </row>
    <row r="271" spans="3:94">
      <c r="C271" s="287"/>
      <c r="D271" s="347"/>
      <c r="E271" s="347"/>
      <c r="F271" s="347"/>
      <c r="G271" s="347"/>
      <c r="H271" s="347"/>
      <c r="K271" s="249"/>
      <c r="O271" s="249"/>
      <c r="P271" s="347"/>
      <c r="X271" s="249"/>
      <c r="Y271" s="249"/>
      <c r="Z271" s="249"/>
      <c r="AA271" s="249"/>
      <c r="AB271" s="249"/>
      <c r="AC271" s="249"/>
      <c r="AD271" s="249"/>
      <c r="AE271" s="249"/>
      <c r="AF271" s="249"/>
      <c r="AG271" s="353"/>
      <c r="AH271" s="353"/>
      <c r="AI271" s="353"/>
      <c r="AJ271" s="249"/>
      <c r="AK271" s="249"/>
      <c r="AL271" s="249"/>
      <c r="AQ271" s="249"/>
      <c r="AR271" s="249"/>
      <c r="AS271" s="249"/>
      <c r="AT271" s="249"/>
      <c r="AU271" s="249"/>
      <c r="AV271" s="249"/>
      <c r="AX271" s="249"/>
      <c r="AZ271" s="249"/>
      <c r="BB271" s="249"/>
      <c r="BC271" s="249"/>
      <c r="BD271" s="249"/>
      <c r="CB271" s="249"/>
      <c r="CC271" s="249"/>
      <c r="CD271" s="249"/>
      <c r="CE271" s="249"/>
      <c r="CM271" s="249"/>
      <c r="CN271" s="249"/>
      <c r="CO271" s="249"/>
      <c r="CP271" s="249"/>
    </row>
    <row r="272" spans="3:94">
      <c r="C272" s="287"/>
      <c r="D272" s="347"/>
      <c r="E272" s="347"/>
      <c r="F272" s="347"/>
      <c r="G272" s="347"/>
      <c r="H272" s="347"/>
      <c r="K272" s="249"/>
      <c r="O272" s="249"/>
      <c r="P272" s="347"/>
      <c r="X272" s="249"/>
      <c r="Y272" s="249"/>
      <c r="Z272" s="249"/>
      <c r="AA272" s="249"/>
      <c r="AB272" s="249"/>
      <c r="AC272" s="249"/>
      <c r="AD272" s="249"/>
      <c r="AE272" s="249"/>
      <c r="AF272" s="249"/>
      <c r="AG272" s="353"/>
      <c r="AH272" s="353"/>
      <c r="AI272" s="353"/>
      <c r="AJ272" s="249"/>
      <c r="AK272" s="249"/>
      <c r="AL272" s="249"/>
      <c r="AQ272" s="249"/>
      <c r="AR272" s="249"/>
      <c r="AS272" s="249"/>
      <c r="AT272" s="249"/>
      <c r="AU272" s="249"/>
      <c r="AV272" s="249"/>
      <c r="AX272" s="249"/>
      <c r="AZ272" s="249"/>
      <c r="BB272" s="249"/>
      <c r="BC272" s="249"/>
      <c r="BD272" s="249"/>
      <c r="CB272" s="249"/>
      <c r="CC272" s="249"/>
      <c r="CD272" s="249"/>
      <c r="CE272" s="249"/>
      <c r="CM272" s="249"/>
      <c r="CN272" s="249"/>
      <c r="CO272" s="249"/>
      <c r="CP272" s="249"/>
    </row>
    <row r="273" spans="3:94">
      <c r="C273" s="287"/>
      <c r="D273" s="347"/>
      <c r="E273" s="347"/>
      <c r="F273" s="347"/>
      <c r="G273" s="347"/>
      <c r="H273" s="347"/>
      <c r="K273" s="249"/>
      <c r="O273" s="249"/>
      <c r="P273" s="347"/>
      <c r="X273" s="249"/>
      <c r="Y273" s="249"/>
      <c r="Z273" s="249"/>
      <c r="AA273" s="249"/>
      <c r="AB273" s="249"/>
      <c r="AC273" s="249"/>
      <c r="AD273" s="249"/>
      <c r="AE273" s="249"/>
      <c r="AF273" s="249"/>
      <c r="AG273" s="353"/>
      <c r="AH273" s="353"/>
      <c r="AI273" s="353"/>
      <c r="AJ273" s="249"/>
      <c r="AK273" s="249"/>
      <c r="AL273" s="249"/>
      <c r="AQ273" s="249"/>
      <c r="AR273" s="249"/>
      <c r="AS273" s="249"/>
      <c r="AT273" s="249"/>
      <c r="AU273" s="249"/>
      <c r="AV273" s="249"/>
      <c r="AX273" s="249"/>
      <c r="AZ273" s="249"/>
      <c r="BB273" s="249"/>
      <c r="BC273" s="249"/>
      <c r="BD273" s="249"/>
      <c r="CB273" s="249"/>
      <c r="CC273" s="249"/>
      <c r="CD273" s="249"/>
      <c r="CE273" s="249"/>
      <c r="CM273" s="249"/>
      <c r="CN273" s="249"/>
      <c r="CO273" s="249"/>
      <c r="CP273" s="249"/>
    </row>
    <row r="274" spans="3:94">
      <c r="C274" s="287"/>
      <c r="D274" s="347"/>
      <c r="E274" s="347"/>
      <c r="F274" s="347"/>
      <c r="G274" s="347"/>
      <c r="H274" s="347"/>
      <c r="K274" s="249"/>
      <c r="O274" s="249"/>
      <c r="P274" s="347"/>
      <c r="X274" s="249"/>
      <c r="Y274" s="249"/>
      <c r="Z274" s="249"/>
      <c r="AA274" s="249"/>
      <c r="AB274" s="249"/>
      <c r="AC274" s="249"/>
      <c r="AD274" s="249"/>
      <c r="AE274" s="249"/>
      <c r="AF274" s="249"/>
      <c r="AG274" s="353"/>
      <c r="AH274" s="353"/>
      <c r="AI274" s="353"/>
      <c r="AJ274" s="249"/>
      <c r="AK274" s="249"/>
      <c r="AL274" s="249"/>
      <c r="AQ274" s="249"/>
      <c r="AR274" s="249"/>
      <c r="AS274" s="249"/>
      <c r="AT274" s="249"/>
      <c r="AU274" s="249"/>
      <c r="AV274" s="249"/>
      <c r="AX274" s="249"/>
      <c r="AZ274" s="249"/>
      <c r="BB274" s="249"/>
      <c r="BC274" s="249"/>
      <c r="BD274" s="249"/>
      <c r="CB274" s="249"/>
      <c r="CC274" s="249"/>
      <c r="CD274" s="249"/>
      <c r="CE274" s="249"/>
      <c r="CM274" s="249"/>
      <c r="CN274" s="249"/>
      <c r="CO274" s="249"/>
      <c r="CP274" s="249"/>
    </row>
    <row r="275" spans="3:94">
      <c r="C275" s="287"/>
      <c r="D275" s="347"/>
      <c r="E275" s="347"/>
      <c r="F275" s="347"/>
      <c r="G275" s="347"/>
      <c r="H275" s="347"/>
      <c r="K275" s="249"/>
      <c r="O275" s="249"/>
      <c r="P275" s="347"/>
      <c r="X275" s="249"/>
      <c r="Y275" s="249"/>
      <c r="Z275" s="249"/>
      <c r="AA275" s="249"/>
      <c r="AB275" s="249"/>
      <c r="AC275" s="249"/>
      <c r="AD275" s="249"/>
      <c r="AE275" s="249"/>
      <c r="AF275" s="249"/>
      <c r="AG275" s="353"/>
      <c r="AH275" s="353"/>
      <c r="AI275" s="353"/>
      <c r="AJ275" s="249"/>
      <c r="AK275" s="249"/>
      <c r="AL275" s="249"/>
      <c r="AQ275" s="249"/>
      <c r="AR275" s="249"/>
      <c r="AS275" s="249"/>
      <c r="AT275" s="249"/>
      <c r="AU275" s="249"/>
      <c r="AV275" s="249"/>
      <c r="AX275" s="249"/>
      <c r="AZ275" s="249"/>
      <c r="BB275" s="249"/>
      <c r="BC275" s="249"/>
      <c r="BD275" s="249"/>
      <c r="CB275" s="249"/>
      <c r="CC275" s="249"/>
      <c r="CD275" s="249"/>
      <c r="CE275" s="249"/>
      <c r="CM275" s="249"/>
      <c r="CN275" s="249"/>
      <c r="CO275" s="249"/>
      <c r="CP275" s="249"/>
    </row>
    <row r="276" spans="3:94">
      <c r="C276" s="287"/>
      <c r="D276" s="347"/>
      <c r="E276" s="347"/>
      <c r="F276" s="347"/>
      <c r="G276" s="347"/>
      <c r="H276" s="347"/>
      <c r="K276" s="249"/>
      <c r="O276" s="249"/>
      <c r="P276" s="347"/>
      <c r="X276" s="249"/>
      <c r="Y276" s="249"/>
      <c r="Z276" s="249"/>
      <c r="AA276" s="249"/>
      <c r="AB276" s="249"/>
      <c r="AC276" s="249"/>
      <c r="AD276" s="249"/>
      <c r="AE276" s="249"/>
      <c r="AF276" s="249"/>
      <c r="AG276" s="353"/>
      <c r="AH276" s="353"/>
      <c r="AI276" s="353"/>
      <c r="AJ276" s="249"/>
      <c r="AK276" s="249"/>
      <c r="AL276" s="249"/>
      <c r="AQ276" s="249"/>
      <c r="AR276" s="249"/>
      <c r="AS276" s="249"/>
      <c r="AT276" s="249"/>
      <c r="AU276" s="249"/>
      <c r="AV276" s="249"/>
      <c r="AX276" s="249"/>
      <c r="AZ276" s="249"/>
      <c r="BB276" s="249"/>
      <c r="BC276" s="249"/>
      <c r="BD276" s="249"/>
      <c r="CB276" s="249"/>
      <c r="CC276" s="249"/>
      <c r="CD276" s="249"/>
      <c r="CE276" s="249"/>
      <c r="CM276" s="249"/>
      <c r="CN276" s="249"/>
      <c r="CO276" s="249"/>
      <c r="CP276" s="249"/>
    </row>
    <row r="277" spans="3:94">
      <c r="C277" s="287"/>
      <c r="D277" s="347"/>
      <c r="E277" s="347"/>
      <c r="F277" s="347"/>
      <c r="G277" s="347"/>
      <c r="H277" s="347"/>
      <c r="K277" s="249"/>
      <c r="O277" s="249"/>
      <c r="P277" s="347"/>
      <c r="X277" s="249"/>
      <c r="Y277" s="249"/>
      <c r="Z277" s="249"/>
      <c r="AA277" s="249"/>
      <c r="AB277" s="249"/>
      <c r="AC277" s="249"/>
      <c r="AD277" s="249"/>
      <c r="AE277" s="249"/>
      <c r="AF277" s="249"/>
      <c r="AG277" s="353"/>
      <c r="AH277" s="353"/>
      <c r="AI277" s="353"/>
      <c r="AJ277" s="249"/>
      <c r="AK277" s="249"/>
      <c r="AL277" s="249"/>
      <c r="AQ277" s="249"/>
      <c r="AR277" s="249"/>
      <c r="AS277" s="249"/>
      <c r="AT277" s="249"/>
      <c r="AU277" s="249"/>
      <c r="AV277" s="249"/>
      <c r="AX277" s="249"/>
      <c r="AZ277" s="249"/>
      <c r="BB277" s="249"/>
      <c r="BC277" s="249"/>
      <c r="BD277" s="249"/>
      <c r="CB277" s="249"/>
      <c r="CC277" s="249"/>
      <c r="CD277" s="249"/>
      <c r="CE277" s="249"/>
      <c r="CM277" s="249"/>
      <c r="CN277" s="249"/>
      <c r="CO277" s="249"/>
      <c r="CP277" s="249"/>
    </row>
    <row r="278" spans="3:94">
      <c r="C278" s="287"/>
      <c r="D278" s="347"/>
      <c r="E278" s="347"/>
      <c r="F278" s="347"/>
      <c r="G278" s="347"/>
      <c r="H278" s="347"/>
      <c r="K278" s="249"/>
      <c r="O278" s="249"/>
      <c r="P278" s="347"/>
      <c r="X278" s="249"/>
      <c r="Y278" s="249"/>
      <c r="Z278" s="249"/>
      <c r="AA278" s="249"/>
      <c r="AB278" s="249"/>
      <c r="AC278" s="249"/>
      <c r="AD278" s="249"/>
      <c r="AE278" s="249"/>
      <c r="AF278" s="249"/>
      <c r="AG278" s="353"/>
      <c r="AH278" s="353"/>
      <c r="AI278" s="353"/>
      <c r="AJ278" s="249"/>
      <c r="AK278" s="249"/>
      <c r="AL278" s="249"/>
      <c r="AQ278" s="249"/>
      <c r="AR278" s="249"/>
      <c r="AS278" s="249"/>
      <c r="AT278" s="249"/>
      <c r="AU278" s="249"/>
      <c r="AV278" s="249"/>
      <c r="AX278" s="249"/>
      <c r="AZ278" s="249"/>
      <c r="BB278" s="249"/>
      <c r="BC278" s="249"/>
      <c r="BD278" s="249"/>
      <c r="CB278" s="249"/>
      <c r="CC278" s="249"/>
      <c r="CD278" s="249"/>
      <c r="CE278" s="249"/>
      <c r="CM278" s="249"/>
      <c r="CN278" s="249"/>
      <c r="CO278" s="249"/>
      <c r="CP278" s="249"/>
    </row>
    <row r="279" spans="3:94">
      <c r="C279" s="287"/>
      <c r="D279" s="347"/>
      <c r="E279" s="347"/>
      <c r="F279" s="347"/>
      <c r="G279" s="347"/>
      <c r="H279" s="347"/>
      <c r="K279" s="249"/>
      <c r="O279" s="249"/>
      <c r="P279" s="347"/>
      <c r="X279" s="249"/>
      <c r="Y279" s="249"/>
      <c r="Z279" s="249"/>
      <c r="AA279" s="249"/>
      <c r="AB279" s="249"/>
      <c r="AC279" s="249"/>
      <c r="AD279" s="249"/>
      <c r="AE279" s="249"/>
      <c r="AF279" s="249"/>
      <c r="AG279" s="353"/>
      <c r="AH279" s="353"/>
      <c r="AI279" s="353"/>
      <c r="AJ279" s="249"/>
      <c r="AK279" s="249"/>
      <c r="AL279" s="249"/>
      <c r="AQ279" s="249"/>
      <c r="AR279" s="249"/>
      <c r="AS279" s="249"/>
      <c r="AT279" s="249"/>
      <c r="AU279" s="249"/>
      <c r="AV279" s="249"/>
      <c r="AX279" s="249"/>
      <c r="AZ279" s="249"/>
      <c r="BB279" s="249"/>
      <c r="BC279" s="249"/>
      <c r="BD279" s="249"/>
      <c r="CB279" s="249"/>
      <c r="CC279" s="249"/>
      <c r="CD279" s="249"/>
      <c r="CE279" s="249"/>
      <c r="CM279" s="249"/>
      <c r="CN279" s="249"/>
      <c r="CO279" s="249"/>
      <c r="CP279" s="249"/>
    </row>
    <row r="280" spans="3:94">
      <c r="C280" s="287"/>
      <c r="D280" s="347"/>
      <c r="E280" s="347"/>
      <c r="F280" s="347"/>
      <c r="G280" s="347"/>
      <c r="H280" s="347"/>
      <c r="K280" s="249"/>
      <c r="O280" s="249"/>
      <c r="P280" s="347"/>
      <c r="X280" s="249"/>
      <c r="Y280" s="249"/>
      <c r="Z280" s="249"/>
      <c r="AA280" s="249"/>
      <c r="AB280" s="249"/>
      <c r="AC280" s="249"/>
      <c r="AD280" s="249"/>
      <c r="AE280" s="249"/>
      <c r="AF280" s="249"/>
      <c r="AG280" s="353"/>
      <c r="AH280" s="353"/>
      <c r="AI280" s="353"/>
      <c r="AJ280" s="249"/>
      <c r="AK280" s="249"/>
      <c r="AL280" s="249"/>
      <c r="AQ280" s="249"/>
      <c r="AR280" s="249"/>
      <c r="AS280" s="249"/>
      <c r="AT280" s="249"/>
      <c r="AU280" s="249"/>
      <c r="AV280" s="249"/>
      <c r="AX280" s="249"/>
      <c r="AZ280" s="249"/>
      <c r="BB280" s="249"/>
      <c r="BC280" s="249"/>
      <c r="BD280" s="249"/>
      <c r="CB280" s="249"/>
      <c r="CC280" s="249"/>
      <c r="CD280" s="249"/>
      <c r="CE280" s="249"/>
      <c r="CM280" s="249"/>
      <c r="CN280" s="249"/>
      <c r="CO280" s="249"/>
      <c r="CP280" s="249"/>
    </row>
    <row r="281" spans="3:94">
      <c r="C281" s="287"/>
      <c r="D281" s="347"/>
      <c r="E281" s="347"/>
      <c r="F281" s="347"/>
      <c r="G281" s="347"/>
      <c r="H281" s="347"/>
      <c r="K281" s="249"/>
      <c r="O281" s="249"/>
      <c r="P281" s="347"/>
      <c r="X281" s="249"/>
      <c r="Y281" s="249"/>
      <c r="Z281" s="249"/>
      <c r="AA281" s="249"/>
      <c r="AB281" s="249"/>
      <c r="AC281" s="249"/>
      <c r="AD281" s="249"/>
      <c r="AE281" s="249"/>
      <c r="AF281" s="249"/>
      <c r="AG281" s="353"/>
      <c r="AH281" s="353"/>
      <c r="AI281" s="353"/>
      <c r="AJ281" s="249"/>
      <c r="AK281" s="249"/>
      <c r="AL281" s="249"/>
      <c r="AQ281" s="249"/>
      <c r="AR281" s="249"/>
      <c r="AS281" s="249"/>
      <c r="AT281" s="249"/>
      <c r="AU281" s="249"/>
      <c r="AV281" s="249"/>
      <c r="AX281" s="249"/>
      <c r="AZ281" s="249"/>
      <c r="BB281" s="249"/>
      <c r="BC281" s="249"/>
      <c r="BD281" s="249"/>
      <c r="CB281" s="249"/>
      <c r="CC281" s="249"/>
      <c r="CD281" s="249"/>
      <c r="CE281" s="249"/>
      <c r="CM281" s="249"/>
      <c r="CN281" s="249"/>
      <c r="CO281" s="249"/>
      <c r="CP281" s="249"/>
    </row>
    <row r="282" spans="3:94">
      <c r="C282" s="287"/>
      <c r="D282" s="347"/>
      <c r="E282" s="347"/>
      <c r="F282" s="347"/>
      <c r="G282" s="347"/>
      <c r="H282" s="347"/>
      <c r="K282" s="249"/>
      <c r="O282" s="249"/>
      <c r="P282" s="347"/>
      <c r="X282" s="249"/>
      <c r="Y282" s="249"/>
      <c r="Z282" s="249"/>
      <c r="AA282" s="249"/>
      <c r="AB282" s="249"/>
      <c r="AC282" s="249"/>
      <c r="AD282" s="249"/>
      <c r="AE282" s="249"/>
      <c r="AF282" s="249"/>
      <c r="AG282" s="353"/>
      <c r="AH282" s="353"/>
      <c r="AI282" s="353"/>
      <c r="AJ282" s="249"/>
      <c r="AK282" s="249"/>
      <c r="AL282" s="249"/>
      <c r="AQ282" s="249"/>
      <c r="AR282" s="249"/>
      <c r="AS282" s="249"/>
      <c r="AT282" s="249"/>
      <c r="AU282" s="249"/>
      <c r="AV282" s="249"/>
      <c r="AX282" s="249"/>
      <c r="AZ282" s="249"/>
      <c r="BB282" s="249"/>
      <c r="BC282" s="249"/>
      <c r="BD282" s="249"/>
      <c r="CB282" s="249"/>
      <c r="CC282" s="249"/>
      <c r="CD282" s="249"/>
      <c r="CE282" s="249"/>
      <c r="CM282" s="249"/>
      <c r="CN282" s="249"/>
      <c r="CO282" s="249"/>
      <c r="CP282" s="249"/>
    </row>
    <row r="283" spans="3:94">
      <c r="C283" s="287"/>
      <c r="D283" s="347"/>
      <c r="E283" s="347"/>
      <c r="F283" s="347"/>
      <c r="G283" s="347"/>
      <c r="H283" s="347"/>
      <c r="K283" s="249"/>
      <c r="O283" s="249"/>
      <c r="P283" s="347"/>
      <c r="X283" s="249"/>
      <c r="Y283" s="249"/>
      <c r="Z283" s="249"/>
      <c r="AA283" s="249"/>
      <c r="AB283" s="249"/>
      <c r="AC283" s="249"/>
      <c r="AD283" s="249"/>
      <c r="AE283" s="249"/>
      <c r="AF283" s="249"/>
      <c r="AG283" s="353"/>
      <c r="AH283" s="353"/>
      <c r="AI283" s="353"/>
      <c r="AJ283" s="249"/>
      <c r="AK283" s="249"/>
      <c r="AL283" s="249"/>
      <c r="AQ283" s="249"/>
      <c r="AR283" s="249"/>
      <c r="AS283" s="249"/>
      <c r="AT283" s="249"/>
      <c r="AU283" s="249"/>
      <c r="AV283" s="249"/>
      <c r="AX283" s="249"/>
      <c r="AZ283" s="249"/>
      <c r="BB283" s="249"/>
      <c r="BC283" s="249"/>
      <c r="BD283" s="249"/>
      <c r="CB283" s="249"/>
      <c r="CC283" s="249"/>
      <c r="CD283" s="249"/>
      <c r="CE283" s="249"/>
      <c r="CM283" s="249"/>
      <c r="CN283" s="249"/>
      <c r="CO283" s="249"/>
      <c r="CP283" s="249"/>
    </row>
    <row r="284" spans="3:94">
      <c r="C284" s="287"/>
      <c r="D284" s="347"/>
      <c r="E284" s="347"/>
      <c r="F284" s="347"/>
      <c r="G284" s="347"/>
      <c r="H284" s="347"/>
      <c r="K284" s="249"/>
      <c r="O284" s="249"/>
      <c r="P284" s="347"/>
      <c r="X284" s="249"/>
      <c r="Y284" s="249"/>
      <c r="Z284" s="249"/>
      <c r="AA284" s="249"/>
      <c r="AB284" s="249"/>
      <c r="AC284" s="249"/>
      <c r="AD284" s="249"/>
      <c r="AE284" s="249"/>
      <c r="AF284" s="249"/>
      <c r="AG284" s="353"/>
      <c r="AH284" s="353"/>
      <c r="AI284" s="353"/>
      <c r="AJ284" s="249"/>
      <c r="AK284" s="249"/>
      <c r="AL284" s="249"/>
      <c r="AQ284" s="249"/>
      <c r="AR284" s="249"/>
      <c r="AS284" s="249"/>
      <c r="AT284" s="249"/>
      <c r="AU284" s="249"/>
      <c r="AV284" s="249"/>
      <c r="AX284" s="249"/>
      <c r="AZ284" s="249"/>
      <c r="BB284" s="249"/>
      <c r="BC284" s="249"/>
      <c r="BD284" s="249"/>
      <c r="CB284" s="249"/>
      <c r="CC284" s="249"/>
      <c r="CD284" s="249"/>
      <c r="CE284" s="249"/>
      <c r="CM284" s="249"/>
      <c r="CN284" s="249"/>
      <c r="CO284" s="249"/>
      <c r="CP284" s="249"/>
    </row>
    <row r="285" spans="3:94">
      <c r="C285" s="287"/>
      <c r="D285" s="347"/>
      <c r="E285" s="347"/>
      <c r="F285" s="347"/>
      <c r="G285" s="347"/>
      <c r="H285" s="347"/>
      <c r="K285" s="249"/>
      <c r="O285" s="249"/>
      <c r="P285" s="347"/>
      <c r="X285" s="249"/>
      <c r="Y285" s="249"/>
      <c r="Z285" s="249"/>
      <c r="AA285" s="249"/>
      <c r="AB285" s="249"/>
      <c r="AC285" s="249"/>
      <c r="AD285" s="249"/>
      <c r="AE285" s="249"/>
      <c r="AF285" s="249"/>
      <c r="AG285" s="353"/>
      <c r="AH285" s="353"/>
      <c r="AI285" s="353"/>
      <c r="AJ285" s="249"/>
      <c r="AK285" s="249"/>
      <c r="AL285" s="249"/>
      <c r="AQ285" s="249"/>
      <c r="AR285" s="249"/>
      <c r="AS285" s="249"/>
      <c r="AT285" s="249"/>
      <c r="AU285" s="249"/>
      <c r="AV285" s="249"/>
      <c r="AX285" s="249"/>
      <c r="AZ285" s="249"/>
      <c r="BB285" s="249"/>
      <c r="BC285" s="249"/>
      <c r="BD285" s="249"/>
      <c r="CB285" s="249"/>
      <c r="CC285" s="249"/>
      <c r="CD285" s="249"/>
      <c r="CE285" s="249"/>
      <c r="CM285" s="249"/>
      <c r="CN285" s="249"/>
      <c r="CO285" s="249"/>
      <c r="CP285" s="249"/>
    </row>
    <row r="286" spans="3:94">
      <c r="C286" s="287"/>
      <c r="D286" s="347"/>
      <c r="E286" s="347"/>
      <c r="F286" s="347"/>
      <c r="G286" s="347"/>
      <c r="H286" s="347"/>
      <c r="K286" s="249"/>
      <c r="O286" s="249"/>
      <c r="P286" s="347"/>
      <c r="X286" s="249"/>
      <c r="Y286" s="249"/>
      <c r="Z286" s="249"/>
      <c r="AA286" s="249"/>
      <c r="AB286" s="249"/>
      <c r="AC286" s="249"/>
      <c r="AD286" s="249"/>
      <c r="AE286" s="249"/>
      <c r="AF286" s="249"/>
      <c r="AG286" s="353"/>
      <c r="AH286" s="353"/>
      <c r="AI286" s="353"/>
      <c r="AJ286" s="249"/>
      <c r="AK286" s="249"/>
      <c r="AL286" s="249"/>
      <c r="AQ286" s="249"/>
      <c r="AR286" s="249"/>
      <c r="AS286" s="249"/>
      <c r="AT286" s="249"/>
      <c r="AU286" s="249"/>
      <c r="AV286" s="249"/>
      <c r="AX286" s="249"/>
      <c r="AZ286" s="249"/>
      <c r="BB286" s="249"/>
      <c r="BC286" s="249"/>
      <c r="BD286" s="249"/>
      <c r="CB286" s="249"/>
      <c r="CC286" s="249"/>
      <c r="CD286" s="249"/>
      <c r="CE286" s="249"/>
      <c r="CM286" s="249"/>
      <c r="CN286" s="249"/>
      <c r="CO286" s="249"/>
      <c r="CP286" s="249"/>
    </row>
    <row r="287" spans="3:94">
      <c r="C287" s="287"/>
      <c r="D287" s="347"/>
      <c r="E287" s="347"/>
      <c r="F287" s="347"/>
      <c r="G287" s="347"/>
      <c r="H287" s="347"/>
      <c r="K287" s="249"/>
      <c r="O287" s="249"/>
      <c r="P287" s="347"/>
      <c r="X287" s="249"/>
      <c r="Y287" s="249"/>
      <c r="Z287" s="249"/>
      <c r="AA287" s="249"/>
      <c r="AB287" s="249"/>
      <c r="AC287" s="249"/>
      <c r="AD287" s="249"/>
      <c r="AE287" s="249"/>
      <c r="AF287" s="249"/>
      <c r="AG287" s="353"/>
      <c r="AH287" s="353"/>
      <c r="AI287" s="353"/>
      <c r="AJ287" s="249"/>
      <c r="AK287" s="249"/>
      <c r="AL287" s="249"/>
      <c r="AQ287" s="249"/>
      <c r="AR287" s="249"/>
      <c r="AS287" s="249"/>
      <c r="AT287" s="249"/>
      <c r="AU287" s="249"/>
      <c r="AV287" s="249"/>
      <c r="AX287" s="249"/>
      <c r="AZ287" s="249"/>
      <c r="BB287" s="249"/>
      <c r="BC287" s="249"/>
      <c r="BD287" s="249"/>
      <c r="CB287" s="249"/>
      <c r="CC287" s="249"/>
      <c r="CD287" s="249"/>
      <c r="CE287" s="249"/>
      <c r="CM287" s="249"/>
      <c r="CN287" s="249"/>
      <c r="CO287" s="249"/>
      <c r="CP287" s="249"/>
    </row>
    <row r="288" spans="3:94">
      <c r="C288" s="287"/>
      <c r="D288" s="347"/>
      <c r="E288" s="347"/>
      <c r="F288" s="347"/>
      <c r="G288" s="347"/>
      <c r="H288" s="347"/>
      <c r="K288" s="249"/>
      <c r="O288" s="249"/>
      <c r="P288" s="347"/>
      <c r="X288" s="249"/>
      <c r="Y288" s="249"/>
      <c r="Z288" s="249"/>
      <c r="AA288" s="249"/>
      <c r="AB288" s="249"/>
      <c r="AC288" s="249"/>
      <c r="AD288" s="249"/>
      <c r="AE288" s="249"/>
      <c r="AF288" s="249"/>
      <c r="AG288" s="353"/>
      <c r="AH288" s="353"/>
      <c r="AI288" s="353"/>
      <c r="AJ288" s="249"/>
      <c r="AK288" s="249"/>
      <c r="AL288" s="249"/>
      <c r="AQ288" s="249"/>
      <c r="AR288" s="249"/>
      <c r="AS288" s="249"/>
      <c r="AT288" s="249"/>
      <c r="AU288" s="249"/>
      <c r="AV288" s="249"/>
      <c r="AX288" s="249"/>
      <c r="AZ288" s="249"/>
      <c r="BB288" s="249"/>
      <c r="BC288" s="249"/>
      <c r="BD288" s="249"/>
      <c r="CB288" s="249"/>
      <c r="CC288" s="249"/>
      <c r="CD288" s="249"/>
      <c r="CE288" s="249"/>
      <c r="CM288" s="249"/>
      <c r="CN288" s="249"/>
      <c r="CO288" s="249"/>
      <c r="CP288" s="249"/>
    </row>
    <row r="289" spans="3:94">
      <c r="C289" s="287"/>
      <c r="D289" s="347"/>
      <c r="E289" s="347"/>
      <c r="F289" s="347"/>
      <c r="G289" s="347"/>
      <c r="H289" s="347"/>
      <c r="K289" s="249"/>
      <c r="O289" s="249"/>
      <c r="P289" s="347"/>
      <c r="X289" s="249"/>
      <c r="Y289" s="249"/>
      <c r="Z289" s="249"/>
      <c r="AA289" s="249"/>
      <c r="AB289" s="249"/>
      <c r="AC289" s="249"/>
      <c r="AD289" s="249"/>
      <c r="AE289" s="249"/>
      <c r="AF289" s="249"/>
      <c r="AG289" s="353"/>
      <c r="AH289" s="353"/>
      <c r="AI289" s="353"/>
      <c r="AJ289" s="249"/>
      <c r="AK289" s="249"/>
      <c r="AL289" s="249"/>
      <c r="AQ289" s="249"/>
      <c r="AR289" s="249"/>
      <c r="AS289" s="249"/>
      <c r="AT289" s="249"/>
      <c r="AU289" s="249"/>
      <c r="AV289" s="249"/>
      <c r="AX289" s="249"/>
      <c r="AZ289" s="249"/>
      <c r="BB289" s="249"/>
      <c r="BC289" s="249"/>
      <c r="BD289" s="249"/>
      <c r="CB289" s="249"/>
      <c r="CC289" s="249"/>
      <c r="CD289" s="249"/>
      <c r="CE289" s="249"/>
      <c r="CM289" s="249"/>
      <c r="CN289" s="249"/>
      <c r="CO289" s="249"/>
      <c r="CP289" s="249"/>
    </row>
    <row r="290" spans="3:94">
      <c r="C290" s="287"/>
      <c r="D290" s="347"/>
      <c r="E290" s="347"/>
      <c r="F290" s="347"/>
      <c r="G290" s="347"/>
      <c r="H290" s="347"/>
      <c r="K290" s="249"/>
      <c r="O290" s="249"/>
      <c r="P290" s="347"/>
      <c r="X290" s="249"/>
      <c r="Y290" s="249"/>
      <c r="Z290" s="249"/>
      <c r="AA290" s="249"/>
      <c r="AB290" s="249"/>
      <c r="AC290" s="249"/>
      <c r="AD290" s="249"/>
      <c r="AE290" s="249"/>
      <c r="AF290" s="249"/>
      <c r="AG290" s="353"/>
      <c r="AH290" s="353"/>
      <c r="AI290" s="353"/>
      <c r="AJ290" s="249"/>
      <c r="AK290" s="249"/>
      <c r="AL290" s="249"/>
      <c r="AQ290" s="249"/>
      <c r="AR290" s="249"/>
      <c r="AS290" s="249"/>
      <c r="AT290" s="249"/>
      <c r="AU290" s="249"/>
      <c r="AV290" s="249"/>
      <c r="AX290" s="249"/>
      <c r="AZ290" s="249"/>
      <c r="BB290" s="249"/>
      <c r="BC290" s="249"/>
      <c r="BD290" s="249"/>
      <c r="CB290" s="249"/>
      <c r="CC290" s="249"/>
      <c r="CD290" s="249"/>
      <c r="CE290" s="249"/>
      <c r="CM290" s="249"/>
      <c r="CN290" s="249"/>
      <c r="CO290" s="249"/>
      <c r="CP290" s="249"/>
    </row>
    <row r="291" spans="3:94">
      <c r="C291" s="287"/>
      <c r="D291" s="347"/>
      <c r="E291" s="347"/>
      <c r="F291" s="347"/>
      <c r="G291" s="347"/>
      <c r="H291" s="347"/>
      <c r="K291" s="249"/>
      <c r="O291" s="249"/>
      <c r="P291" s="347"/>
      <c r="X291" s="249"/>
      <c r="Y291" s="249"/>
      <c r="Z291" s="249"/>
      <c r="AA291" s="249"/>
      <c r="AB291" s="249"/>
      <c r="AC291" s="249"/>
      <c r="AD291" s="249"/>
      <c r="AE291" s="249"/>
      <c r="AF291" s="249"/>
      <c r="AG291" s="353"/>
      <c r="AH291" s="353"/>
      <c r="AI291" s="353"/>
      <c r="AJ291" s="249"/>
      <c r="AK291" s="249"/>
      <c r="AL291" s="249"/>
      <c r="AQ291" s="249"/>
      <c r="AR291" s="249"/>
      <c r="AS291" s="249"/>
      <c r="AT291" s="249"/>
      <c r="AU291" s="249"/>
      <c r="AV291" s="249"/>
      <c r="AX291" s="249"/>
      <c r="AZ291" s="249"/>
      <c r="BB291" s="249"/>
      <c r="BC291" s="249"/>
      <c r="BD291" s="249"/>
      <c r="CB291" s="249"/>
      <c r="CC291" s="249"/>
      <c r="CD291" s="249"/>
      <c r="CE291" s="249"/>
      <c r="CM291" s="249"/>
      <c r="CN291" s="249"/>
      <c r="CO291" s="249"/>
      <c r="CP291" s="249"/>
    </row>
    <row r="292" spans="3:94">
      <c r="C292" s="287"/>
      <c r="D292" s="347"/>
      <c r="E292" s="347"/>
      <c r="F292" s="347"/>
      <c r="G292" s="347"/>
      <c r="H292" s="347"/>
      <c r="K292" s="249"/>
      <c r="O292" s="249"/>
      <c r="P292" s="347"/>
      <c r="X292" s="249"/>
      <c r="Y292" s="249"/>
      <c r="Z292" s="249"/>
      <c r="AA292" s="249"/>
      <c r="AB292" s="249"/>
      <c r="AC292" s="249"/>
      <c r="AD292" s="249"/>
      <c r="AE292" s="249"/>
      <c r="AF292" s="249"/>
      <c r="AG292" s="353"/>
      <c r="AH292" s="353"/>
      <c r="AI292" s="353"/>
      <c r="AJ292" s="249"/>
      <c r="AK292" s="249"/>
      <c r="AL292" s="249"/>
      <c r="AQ292" s="249"/>
      <c r="AR292" s="249"/>
      <c r="AS292" s="249"/>
      <c r="AT292" s="249"/>
      <c r="AU292" s="249"/>
      <c r="AV292" s="249"/>
      <c r="AX292" s="249"/>
      <c r="AZ292" s="249"/>
      <c r="BB292" s="249"/>
      <c r="BC292" s="249"/>
      <c r="BD292" s="249"/>
      <c r="CB292" s="249"/>
      <c r="CC292" s="249"/>
      <c r="CD292" s="249"/>
      <c r="CE292" s="249"/>
      <c r="CM292" s="249"/>
      <c r="CN292" s="249"/>
      <c r="CO292" s="249"/>
      <c r="CP292" s="249"/>
    </row>
    <row r="293" spans="3:94">
      <c r="C293" s="287"/>
      <c r="D293" s="347"/>
      <c r="E293" s="347"/>
      <c r="F293" s="347"/>
      <c r="G293" s="347"/>
      <c r="H293" s="347"/>
      <c r="K293" s="249"/>
      <c r="O293" s="249"/>
      <c r="P293" s="347"/>
      <c r="X293" s="249"/>
      <c r="Y293" s="249"/>
      <c r="Z293" s="249"/>
      <c r="AA293" s="249"/>
      <c r="AB293" s="249"/>
      <c r="AC293" s="249"/>
      <c r="AD293" s="249"/>
      <c r="AE293" s="249"/>
      <c r="AF293" s="249"/>
      <c r="AG293" s="353"/>
      <c r="AH293" s="353"/>
      <c r="AI293" s="353"/>
      <c r="AJ293" s="249"/>
      <c r="AK293" s="249"/>
      <c r="AL293" s="249"/>
      <c r="AQ293" s="249"/>
      <c r="AR293" s="249"/>
      <c r="AS293" s="249"/>
      <c r="AT293" s="249"/>
      <c r="AU293" s="249"/>
      <c r="AV293" s="249"/>
      <c r="AX293" s="249"/>
      <c r="AZ293" s="249"/>
      <c r="BB293" s="249"/>
      <c r="BC293" s="249"/>
      <c r="BD293" s="249"/>
      <c r="CB293" s="249"/>
      <c r="CC293" s="249"/>
      <c r="CD293" s="249"/>
      <c r="CE293" s="249"/>
      <c r="CM293" s="249"/>
      <c r="CN293" s="249"/>
      <c r="CO293" s="249"/>
      <c r="CP293" s="249"/>
    </row>
    <row r="294" spans="3:94">
      <c r="C294" s="287"/>
      <c r="D294" s="347"/>
      <c r="E294" s="347"/>
      <c r="F294" s="347"/>
      <c r="G294" s="347"/>
      <c r="H294" s="347"/>
      <c r="K294" s="249"/>
      <c r="O294" s="249"/>
      <c r="P294" s="347"/>
      <c r="X294" s="249"/>
      <c r="Y294" s="249"/>
      <c r="Z294" s="249"/>
      <c r="AA294" s="249"/>
      <c r="AB294" s="249"/>
      <c r="AC294" s="249"/>
      <c r="AD294" s="249"/>
      <c r="AE294" s="249"/>
      <c r="AF294" s="249"/>
      <c r="AG294" s="353"/>
      <c r="AH294" s="353"/>
      <c r="AI294" s="353"/>
      <c r="AJ294" s="249"/>
      <c r="AK294" s="249"/>
      <c r="AL294" s="249"/>
      <c r="AQ294" s="249"/>
      <c r="AR294" s="249"/>
      <c r="AS294" s="249"/>
      <c r="AT294" s="249"/>
      <c r="AU294" s="249"/>
      <c r="AV294" s="249"/>
      <c r="AX294" s="249"/>
      <c r="AZ294" s="249"/>
      <c r="BB294" s="249"/>
      <c r="BC294" s="249"/>
      <c r="BD294" s="249"/>
      <c r="CB294" s="249"/>
      <c r="CC294" s="249"/>
      <c r="CD294" s="249"/>
      <c r="CE294" s="249"/>
      <c r="CM294" s="249"/>
      <c r="CN294" s="249"/>
      <c r="CO294" s="249"/>
      <c r="CP294" s="249"/>
    </row>
    <row r="295" spans="3:94">
      <c r="C295" s="287"/>
      <c r="D295" s="347"/>
      <c r="E295" s="347"/>
      <c r="F295" s="347"/>
      <c r="G295" s="347"/>
      <c r="H295" s="347"/>
      <c r="K295" s="249"/>
      <c r="O295" s="249"/>
      <c r="P295" s="347"/>
      <c r="X295" s="249"/>
      <c r="Y295" s="249"/>
      <c r="Z295" s="249"/>
      <c r="AA295" s="249"/>
      <c r="AB295" s="249"/>
      <c r="AC295" s="249"/>
      <c r="AD295" s="249"/>
      <c r="AE295" s="249"/>
      <c r="AF295" s="249"/>
      <c r="AG295" s="353"/>
      <c r="AH295" s="353"/>
      <c r="AI295" s="353"/>
      <c r="AJ295" s="249"/>
      <c r="AK295" s="249"/>
      <c r="AL295" s="249"/>
      <c r="AQ295" s="249"/>
      <c r="AR295" s="249"/>
      <c r="AS295" s="249"/>
      <c r="AT295" s="249"/>
      <c r="AU295" s="249"/>
      <c r="AV295" s="249"/>
      <c r="AX295" s="249"/>
      <c r="AZ295" s="249"/>
      <c r="BB295" s="249"/>
      <c r="BC295" s="249"/>
      <c r="BD295" s="249"/>
      <c r="CB295" s="249"/>
      <c r="CC295" s="249"/>
      <c r="CD295" s="249"/>
      <c r="CE295" s="249"/>
      <c r="CM295" s="249"/>
      <c r="CN295" s="249"/>
      <c r="CO295" s="249"/>
      <c r="CP295" s="249"/>
    </row>
    <row r="296" spans="3:94">
      <c r="C296" s="287"/>
      <c r="D296" s="347"/>
      <c r="E296" s="347"/>
      <c r="F296" s="347"/>
      <c r="G296" s="347"/>
      <c r="H296" s="347"/>
      <c r="K296" s="249"/>
      <c r="O296" s="249"/>
      <c r="P296" s="347"/>
      <c r="X296" s="249"/>
      <c r="Y296" s="249"/>
      <c r="Z296" s="249"/>
      <c r="AA296" s="249"/>
      <c r="AB296" s="249"/>
      <c r="AC296" s="249"/>
      <c r="AD296" s="249"/>
      <c r="AE296" s="249"/>
      <c r="AF296" s="249"/>
      <c r="AG296" s="353"/>
      <c r="AH296" s="353"/>
      <c r="AI296" s="353"/>
      <c r="AJ296" s="249"/>
      <c r="AK296" s="249"/>
      <c r="AL296" s="249"/>
      <c r="AQ296" s="249"/>
      <c r="AR296" s="249"/>
      <c r="AS296" s="249"/>
      <c r="AT296" s="249"/>
      <c r="AU296" s="249"/>
      <c r="AV296" s="249"/>
      <c r="AX296" s="249"/>
      <c r="AZ296" s="249"/>
      <c r="BB296" s="249"/>
      <c r="BC296" s="249"/>
      <c r="BD296" s="249"/>
      <c r="CB296" s="249"/>
      <c r="CC296" s="249"/>
      <c r="CD296" s="249"/>
      <c r="CE296" s="249"/>
      <c r="CM296" s="249"/>
      <c r="CN296" s="249"/>
      <c r="CO296" s="249"/>
      <c r="CP296" s="249"/>
    </row>
    <row r="297" spans="3:94">
      <c r="C297" s="287"/>
      <c r="D297" s="347"/>
      <c r="E297" s="347"/>
      <c r="F297" s="347"/>
      <c r="G297" s="347"/>
      <c r="H297" s="347"/>
      <c r="K297" s="249"/>
      <c r="O297" s="249"/>
      <c r="P297" s="347"/>
      <c r="X297" s="249"/>
      <c r="Y297" s="249"/>
      <c r="Z297" s="249"/>
      <c r="AA297" s="249"/>
      <c r="AB297" s="249"/>
      <c r="AC297" s="249"/>
      <c r="AD297" s="249"/>
      <c r="AE297" s="249"/>
      <c r="AF297" s="249"/>
      <c r="AG297" s="353"/>
      <c r="AH297" s="353"/>
      <c r="AI297" s="353"/>
      <c r="AJ297" s="249"/>
      <c r="AK297" s="249"/>
      <c r="AL297" s="249"/>
      <c r="AQ297" s="249"/>
      <c r="AR297" s="249"/>
      <c r="AS297" s="249"/>
      <c r="AT297" s="249"/>
      <c r="AU297" s="249"/>
      <c r="AV297" s="249"/>
      <c r="AX297" s="249"/>
      <c r="AZ297" s="249"/>
      <c r="BB297" s="249"/>
      <c r="BC297" s="249"/>
      <c r="BD297" s="249"/>
      <c r="CB297" s="249"/>
      <c r="CC297" s="249"/>
      <c r="CD297" s="249"/>
      <c r="CE297" s="249"/>
      <c r="CM297" s="249"/>
      <c r="CN297" s="249"/>
      <c r="CO297" s="249"/>
      <c r="CP297" s="249"/>
    </row>
    <row r="298" spans="3:94">
      <c r="C298" s="287"/>
      <c r="D298" s="347"/>
      <c r="E298" s="347"/>
      <c r="F298" s="347"/>
      <c r="G298" s="347"/>
      <c r="H298" s="347"/>
      <c r="K298" s="249"/>
      <c r="O298" s="249"/>
      <c r="P298" s="347"/>
      <c r="X298" s="249"/>
      <c r="Y298" s="249"/>
      <c r="Z298" s="249"/>
      <c r="AA298" s="249"/>
      <c r="AB298" s="249"/>
      <c r="AC298" s="249"/>
      <c r="AD298" s="249"/>
      <c r="AE298" s="249"/>
      <c r="AF298" s="249"/>
      <c r="AG298" s="353"/>
      <c r="AH298" s="353"/>
      <c r="AI298" s="353"/>
      <c r="AJ298" s="249"/>
      <c r="AK298" s="249"/>
      <c r="AL298" s="249"/>
      <c r="AQ298" s="249"/>
      <c r="AR298" s="249"/>
      <c r="AS298" s="249"/>
      <c r="AT298" s="249"/>
      <c r="AU298" s="249"/>
      <c r="AV298" s="249"/>
      <c r="AX298" s="249"/>
      <c r="AZ298" s="249"/>
      <c r="BB298" s="249"/>
      <c r="BC298" s="249"/>
      <c r="BD298" s="249"/>
      <c r="CB298" s="249"/>
      <c r="CC298" s="249"/>
      <c r="CD298" s="249"/>
      <c r="CE298" s="249"/>
      <c r="CM298" s="249"/>
      <c r="CN298" s="249"/>
      <c r="CO298" s="249"/>
      <c r="CP298" s="249"/>
    </row>
    <row r="299" spans="3:94">
      <c r="C299" s="287"/>
      <c r="D299" s="347"/>
      <c r="E299" s="347"/>
      <c r="F299" s="347"/>
      <c r="G299" s="347"/>
      <c r="H299" s="347"/>
      <c r="K299" s="249"/>
      <c r="O299" s="249"/>
      <c r="P299" s="347"/>
      <c r="X299" s="249"/>
      <c r="Y299" s="249"/>
      <c r="Z299" s="249"/>
      <c r="AA299" s="249"/>
      <c r="AB299" s="249"/>
      <c r="AC299" s="249"/>
      <c r="AD299" s="249"/>
      <c r="AE299" s="249"/>
      <c r="AF299" s="249"/>
      <c r="AG299" s="353"/>
      <c r="AH299" s="353"/>
      <c r="AI299" s="353"/>
      <c r="AJ299" s="249"/>
      <c r="AK299" s="249"/>
      <c r="AL299" s="249"/>
      <c r="AQ299" s="249"/>
      <c r="AR299" s="249"/>
      <c r="AS299" s="249"/>
      <c r="AT299" s="249"/>
      <c r="AU299" s="249"/>
      <c r="AV299" s="249"/>
      <c r="AX299" s="249"/>
      <c r="AZ299" s="249"/>
      <c r="BB299" s="249"/>
      <c r="BC299" s="249"/>
      <c r="BD299" s="249"/>
      <c r="CB299" s="249"/>
      <c r="CC299" s="249"/>
      <c r="CD299" s="249"/>
      <c r="CE299" s="249"/>
      <c r="CM299" s="249"/>
      <c r="CN299" s="249"/>
      <c r="CO299" s="249"/>
      <c r="CP299" s="249"/>
    </row>
    <row r="300" spans="3:94">
      <c r="C300" s="287"/>
      <c r="D300" s="347"/>
      <c r="E300" s="347"/>
      <c r="F300" s="347"/>
      <c r="G300" s="347"/>
      <c r="H300" s="347"/>
      <c r="K300" s="249"/>
      <c r="O300" s="249"/>
      <c r="P300" s="347"/>
      <c r="X300" s="249"/>
      <c r="Y300" s="249"/>
      <c r="Z300" s="249"/>
      <c r="AA300" s="249"/>
      <c r="AB300" s="249"/>
      <c r="AC300" s="249"/>
      <c r="AD300" s="249"/>
      <c r="AE300" s="249"/>
      <c r="AF300" s="249"/>
      <c r="AG300" s="353"/>
      <c r="AH300" s="353"/>
      <c r="AI300" s="353"/>
      <c r="AJ300" s="249"/>
      <c r="AK300" s="249"/>
      <c r="AL300" s="249"/>
      <c r="AQ300" s="249"/>
      <c r="AR300" s="249"/>
      <c r="AS300" s="249"/>
      <c r="AT300" s="249"/>
      <c r="AU300" s="249"/>
      <c r="AV300" s="249"/>
      <c r="AX300" s="249"/>
      <c r="AZ300" s="249"/>
      <c r="BB300" s="249"/>
      <c r="BC300" s="249"/>
      <c r="BD300" s="249"/>
      <c r="CB300" s="249"/>
      <c r="CC300" s="249"/>
      <c r="CD300" s="249"/>
      <c r="CE300" s="249"/>
      <c r="CM300" s="249"/>
      <c r="CN300" s="249"/>
      <c r="CO300" s="249"/>
      <c r="CP300" s="249"/>
    </row>
    <row r="301" spans="3:94">
      <c r="C301" s="287"/>
      <c r="D301" s="347"/>
      <c r="E301" s="347"/>
      <c r="F301" s="347"/>
      <c r="G301" s="347"/>
      <c r="H301" s="347"/>
      <c r="K301" s="249"/>
      <c r="O301" s="249"/>
      <c r="P301" s="347"/>
      <c r="X301" s="249"/>
      <c r="Y301" s="249"/>
      <c r="Z301" s="249"/>
      <c r="AA301" s="249"/>
      <c r="AB301" s="249"/>
      <c r="AC301" s="249"/>
      <c r="AD301" s="249"/>
      <c r="AE301" s="249"/>
      <c r="AF301" s="249"/>
      <c r="AG301" s="353"/>
      <c r="AH301" s="353"/>
      <c r="AI301" s="353"/>
      <c r="AJ301" s="249"/>
      <c r="AK301" s="249"/>
      <c r="AL301" s="249"/>
      <c r="AQ301" s="249"/>
      <c r="AR301" s="249"/>
      <c r="AS301" s="249"/>
      <c r="AT301" s="249"/>
      <c r="AU301" s="249"/>
      <c r="AV301" s="249"/>
      <c r="AX301" s="249"/>
      <c r="AZ301" s="249"/>
      <c r="BB301" s="249"/>
      <c r="BC301" s="249"/>
      <c r="BD301" s="249"/>
      <c r="CB301" s="249"/>
      <c r="CC301" s="249"/>
      <c r="CD301" s="249"/>
      <c r="CE301" s="249"/>
      <c r="CM301" s="249"/>
      <c r="CN301" s="249"/>
      <c r="CO301" s="249"/>
      <c r="CP301" s="249"/>
    </row>
    <row r="302" spans="3:94">
      <c r="C302" s="287"/>
      <c r="D302" s="347"/>
      <c r="E302" s="347"/>
      <c r="F302" s="347"/>
      <c r="G302" s="347"/>
      <c r="H302" s="347"/>
      <c r="K302" s="249"/>
      <c r="O302" s="249"/>
      <c r="P302" s="347"/>
      <c r="X302" s="249"/>
      <c r="Y302" s="249"/>
      <c r="Z302" s="249"/>
      <c r="AA302" s="249"/>
      <c r="AB302" s="249"/>
      <c r="AC302" s="249"/>
      <c r="AD302" s="249"/>
      <c r="AE302" s="249"/>
      <c r="AF302" s="249"/>
      <c r="AG302" s="353"/>
      <c r="AH302" s="353"/>
      <c r="AI302" s="353"/>
      <c r="AJ302" s="249"/>
      <c r="AK302" s="249"/>
      <c r="AL302" s="249"/>
      <c r="AQ302" s="249"/>
      <c r="AR302" s="249"/>
      <c r="AS302" s="249"/>
      <c r="AT302" s="249"/>
      <c r="AU302" s="249"/>
      <c r="AV302" s="249"/>
      <c r="AX302" s="249"/>
      <c r="AZ302" s="249"/>
      <c r="BB302" s="249"/>
      <c r="BC302" s="249"/>
      <c r="BD302" s="249"/>
      <c r="CB302" s="249"/>
      <c r="CC302" s="249"/>
      <c r="CD302" s="249"/>
      <c r="CE302" s="249"/>
      <c r="CM302" s="249"/>
      <c r="CN302" s="249"/>
      <c r="CO302" s="249"/>
      <c r="CP302" s="249"/>
    </row>
    <row r="303" spans="3:94">
      <c r="C303" s="287"/>
      <c r="D303" s="347"/>
      <c r="E303" s="347"/>
      <c r="F303" s="347"/>
      <c r="G303" s="347"/>
      <c r="H303" s="347"/>
      <c r="K303" s="249"/>
      <c r="O303" s="249"/>
      <c r="P303" s="347"/>
      <c r="X303" s="249"/>
      <c r="Y303" s="249"/>
      <c r="Z303" s="249"/>
      <c r="AA303" s="249"/>
      <c r="AB303" s="249"/>
      <c r="AC303" s="249"/>
      <c r="AD303" s="249"/>
      <c r="AE303" s="249"/>
      <c r="AF303" s="249"/>
      <c r="AG303" s="353"/>
      <c r="AH303" s="353"/>
      <c r="AI303" s="353"/>
      <c r="AJ303" s="249"/>
      <c r="AK303" s="249"/>
      <c r="AL303" s="249"/>
      <c r="AQ303" s="249"/>
      <c r="AR303" s="249"/>
      <c r="AS303" s="249"/>
      <c r="AT303" s="249"/>
      <c r="AU303" s="249"/>
      <c r="AV303" s="249"/>
      <c r="AX303" s="249"/>
      <c r="AZ303" s="249"/>
      <c r="BB303" s="249"/>
      <c r="BC303" s="249"/>
      <c r="BD303" s="249"/>
      <c r="CB303" s="249"/>
      <c r="CC303" s="249"/>
      <c r="CD303" s="249"/>
      <c r="CE303" s="249"/>
      <c r="CM303" s="249"/>
      <c r="CN303" s="249"/>
      <c r="CO303" s="249"/>
      <c r="CP303" s="249"/>
    </row>
    <row r="304" spans="3:94">
      <c r="C304" s="287"/>
      <c r="D304" s="347"/>
      <c r="E304" s="347"/>
      <c r="F304" s="347"/>
      <c r="G304" s="347"/>
      <c r="H304" s="347"/>
      <c r="K304" s="249"/>
      <c r="O304" s="249"/>
      <c r="P304" s="347"/>
      <c r="X304" s="249"/>
      <c r="Y304" s="249"/>
      <c r="Z304" s="249"/>
      <c r="AA304" s="249"/>
      <c r="AB304" s="249"/>
      <c r="AC304" s="249"/>
      <c r="AD304" s="249"/>
      <c r="AE304" s="249"/>
      <c r="AF304" s="249"/>
      <c r="AG304" s="353"/>
      <c r="AH304" s="353"/>
      <c r="AI304" s="353"/>
      <c r="AJ304" s="249"/>
      <c r="AK304" s="249"/>
      <c r="AL304" s="249"/>
      <c r="AQ304" s="249"/>
      <c r="AR304" s="249"/>
      <c r="AS304" s="249"/>
      <c r="AT304" s="249"/>
      <c r="AU304" s="249"/>
      <c r="AV304" s="249"/>
      <c r="AX304" s="249"/>
      <c r="AZ304" s="249"/>
      <c r="BB304" s="249"/>
      <c r="BC304" s="249"/>
      <c r="BD304" s="249"/>
      <c r="CB304" s="249"/>
      <c r="CC304" s="249"/>
      <c r="CD304" s="249"/>
      <c r="CE304" s="249"/>
      <c r="CM304" s="249"/>
      <c r="CN304" s="249"/>
      <c r="CO304" s="249"/>
      <c r="CP304" s="249"/>
    </row>
    <row r="305" spans="3:94">
      <c r="C305" s="287"/>
      <c r="D305" s="347"/>
      <c r="E305" s="347"/>
      <c r="F305" s="347"/>
      <c r="G305" s="347"/>
      <c r="H305" s="347"/>
      <c r="K305" s="249"/>
      <c r="O305" s="249"/>
      <c r="P305" s="347"/>
      <c r="X305" s="249"/>
      <c r="Y305" s="249"/>
      <c r="Z305" s="249"/>
      <c r="AA305" s="249"/>
      <c r="AB305" s="249"/>
      <c r="AC305" s="249"/>
      <c r="AD305" s="249"/>
      <c r="AE305" s="249"/>
      <c r="AF305" s="249"/>
      <c r="AG305" s="353"/>
      <c r="AH305" s="353"/>
      <c r="AI305" s="353"/>
      <c r="AJ305" s="249"/>
      <c r="AK305" s="249"/>
      <c r="AL305" s="249"/>
      <c r="AQ305" s="249"/>
      <c r="AR305" s="249"/>
      <c r="AS305" s="249"/>
      <c r="AT305" s="249"/>
      <c r="AU305" s="249"/>
      <c r="AV305" s="249"/>
      <c r="AX305" s="249"/>
      <c r="AZ305" s="249"/>
      <c r="BB305" s="249"/>
      <c r="BC305" s="249"/>
      <c r="BD305" s="249"/>
      <c r="CB305" s="249"/>
      <c r="CC305" s="249"/>
      <c r="CD305" s="249"/>
      <c r="CE305" s="249"/>
      <c r="CM305" s="249"/>
      <c r="CN305" s="249"/>
      <c r="CO305" s="249"/>
      <c r="CP305" s="249"/>
    </row>
    <row r="306" spans="3:94">
      <c r="C306" s="287"/>
      <c r="D306" s="347"/>
      <c r="E306" s="347"/>
      <c r="F306" s="347"/>
      <c r="G306" s="347"/>
      <c r="H306" s="347"/>
      <c r="K306" s="249"/>
      <c r="O306" s="249"/>
      <c r="P306" s="347"/>
      <c r="X306" s="249"/>
      <c r="Y306" s="249"/>
      <c r="Z306" s="249"/>
      <c r="AA306" s="249"/>
      <c r="AB306" s="249"/>
      <c r="AC306" s="249"/>
      <c r="AD306" s="249"/>
      <c r="AE306" s="249"/>
      <c r="AF306" s="249"/>
      <c r="AG306" s="353"/>
      <c r="AH306" s="353"/>
      <c r="AI306" s="353"/>
      <c r="AJ306" s="249"/>
      <c r="AK306" s="249"/>
      <c r="AL306" s="249"/>
      <c r="AQ306" s="249"/>
      <c r="AR306" s="249"/>
      <c r="AS306" s="249"/>
      <c r="AT306" s="249"/>
      <c r="AU306" s="249"/>
      <c r="AV306" s="249"/>
      <c r="AX306" s="249"/>
      <c r="AZ306" s="249"/>
      <c r="BB306" s="249"/>
      <c r="BC306" s="249"/>
      <c r="BD306" s="249"/>
      <c r="CB306" s="249"/>
      <c r="CC306" s="249"/>
      <c r="CD306" s="249"/>
      <c r="CE306" s="249"/>
      <c r="CM306" s="249"/>
      <c r="CN306" s="249"/>
      <c r="CO306" s="249"/>
      <c r="CP306" s="249"/>
    </row>
    <row r="307" spans="3:94">
      <c r="C307" s="287"/>
      <c r="D307" s="347"/>
      <c r="E307" s="347"/>
      <c r="F307" s="347"/>
      <c r="G307" s="347"/>
      <c r="H307" s="347"/>
      <c r="K307" s="249"/>
      <c r="O307" s="249"/>
      <c r="P307" s="347"/>
      <c r="X307" s="249"/>
      <c r="Y307" s="249"/>
      <c r="Z307" s="249"/>
      <c r="AA307" s="249"/>
      <c r="AB307" s="249"/>
      <c r="AC307" s="249"/>
      <c r="AD307" s="249"/>
      <c r="AE307" s="249"/>
      <c r="AF307" s="249"/>
      <c r="AG307" s="353"/>
      <c r="AH307" s="353"/>
      <c r="AI307" s="353"/>
      <c r="AJ307" s="249"/>
      <c r="AK307" s="249"/>
      <c r="AL307" s="249"/>
      <c r="AQ307" s="249"/>
      <c r="AR307" s="249"/>
      <c r="AS307" s="249"/>
      <c r="AT307" s="249"/>
      <c r="AU307" s="249"/>
      <c r="AV307" s="249"/>
      <c r="AX307" s="249"/>
      <c r="AZ307" s="249"/>
      <c r="BB307" s="249"/>
      <c r="BC307" s="249"/>
      <c r="BD307" s="249"/>
      <c r="CB307" s="249"/>
      <c r="CC307" s="249"/>
      <c r="CD307" s="249"/>
      <c r="CE307" s="249"/>
      <c r="CM307" s="249"/>
      <c r="CN307" s="249"/>
      <c r="CO307" s="249"/>
      <c r="CP307" s="249"/>
    </row>
    <row r="308" spans="3:94">
      <c r="C308" s="287"/>
      <c r="D308" s="347"/>
      <c r="E308" s="347"/>
      <c r="F308" s="347"/>
      <c r="G308" s="347"/>
      <c r="H308" s="347"/>
      <c r="K308" s="249"/>
      <c r="O308" s="249"/>
      <c r="P308" s="347"/>
      <c r="X308" s="249"/>
      <c r="Y308" s="249"/>
      <c r="Z308" s="249"/>
      <c r="AA308" s="249"/>
      <c r="AB308" s="249"/>
      <c r="AC308" s="249"/>
      <c r="AD308" s="249"/>
      <c r="AE308" s="249"/>
      <c r="AF308" s="249"/>
      <c r="AG308" s="353"/>
      <c r="AH308" s="353"/>
      <c r="AI308" s="353"/>
      <c r="AJ308" s="249"/>
      <c r="AK308" s="249"/>
      <c r="AL308" s="249"/>
      <c r="AQ308" s="249"/>
      <c r="AR308" s="249"/>
      <c r="AS308" s="249"/>
      <c r="AT308" s="249"/>
      <c r="AU308" s="249"/>
      <c r="AV308" s="249"/>
      <c r="AX308" s="249"/>
      <c r="AZ308" s="249"/>
      <c r="BB308" s="249"/>
      <c r="BC308" s="249"/>
      <c r="BD308" s="249"/>
      <c r="CB308" s="249"/>
      <c r="CC308" s="249"/>
      <c r="CD308" s="249"/>
      <c r="CE308" s="249"/>
      <c r="CM308" s="249"/>
      <c r="CN308" s="249"/>
      <c r="CO308" s="249"/>
      <c r="CP308" s="249"/>
    </row>
    <row r="309" spans="3:94">
      <c r="C309" s="287"/>
      <c r="D309" s="347"/>
      <c r="E309" s="347"/>
      <c r="F309" s="347"/>
      <c r="G309" s="347"/>
      <c r="H309" s="347"/>
      <c r="K309" s="249"/>
      <c r="O309" s="249"/>
      <c r="P309" s="347"/>
      <c r="X309" s="249"/>
      <c r="Y309" s="249"/>
      <c r="Z309" s="249"/>
      <c r="AA309" s="249"/>
      <c r="AB309" s="249"/>
      <c r="AC309" s="249"/>
      <c r="AD309" s="249"/>
      <c r="AE309" s="249"/>
      <c r="AF309" s="249"/>
      <c r="AG309" s="353"/>
      <c r="AH309" s="353"/>
      <c r="AI309" s="353"/>
      <c r="AJ309" s="249"/>
      <c r="AK309" s="249"/>
      <c r="AL309" s="249"/>
      <c r="AQ309" s="249"/>
      <c r="AR309" s="249"/>
      <c r="AS309" s="249"/>
      <c r="AT309" s="249"/>
      <c r="AU309" s="249"/>
      <c r="AV309" s="249"/>
      <c r="AX309" s="249"/>
      <c r="AZ309" s="249"/>
      <c r="BB309" s="249"/>
      <c r="BC309" s="249"/>
      <c r="BD309" s="249"/>
      <c r="CB309" s="249"/>
      <c r="CC309" s="249"/>
      <c r="CD309" s="249"/>
      <c r="CE309" s="249"/>
      <c r="CM309" s="249"/>
      <c r="CN309" s="249"/>
      <c r="CO309" s="249"/>
      <c r="CP309" s="249"/>
    </row>
    <row r="310" spans="3:94">
      <c r="C310" s="287"/>
      <c r="D310" s="347"/>
      <c r="E310" s="347"/>
      <c r="F310" s="347"/>
      <c r="G310" s="347"/>
      <c r="H310" s="347"/>
      <c r="K310" s="249"/>
      <c r="O310" s="249"/>
      <c r="P310" s="347"/>
      <c r="X310" s="249"/>
      <c r="Y310" s="249"/>
      <c r="Z310" s="249"/>
      <c r="AA310" s="249"/>
      <c r="AB310" s="249"/>
      <c r="AC310" s="249"/>
      <c r="AD310" s="249"/>
      <c r="AE310" s="249"/>
      <c r="AF310" s="249"/>
      <c r="AG310" s="353"/>
      <c r="AH310" s="353"/>
      <c r="AI310" s="353"/>
      <c r="AJ310" s="249"/>
      <c r="AK310" s="249"/>
      <c r="AL310" s="249"/>
      <c r="AQ310" s="249"/>
      <c r="AR310" s="249"/>
      <c r="AS310" s="249"/>
      <c r="AT310" s="249"/>
      <c r="AU310" s="249"/>
      <c r="AV310" s="249"/>
      <c r="AX310" s="249"/>
      <c r="AZ310" s="249"/>
      <c r="BB310" s="249"/>
      <c r="BC310" s="249"/>
      <c r="BD310" s="249"/>
      <c r="CB310" s="249"/>
      <c r="CC310" s="249"/>
      <c r="CD310" s="249"/>
      <c r="CE310" s="249"/>
      <c r="CM310" s="249"/>
      <c r="CN310" s="249"/>
      <c r="CO310" s="249"/>
      <c r="CP310" s="249"/>
    </row>
    <row r="311" spans="3:94">
      <c r="C311" s="287"/>
      <c r="D311" s="347"/>
      <c r="E311" s="347"/>
      <c r="F311" s="347"/>
      <c r="G311" s="347"/>
      <c r="H311" s="347"/>
      <c r="K311" s="249"/>
      <c r="O311" s="249"/>
      <c r="P311" s="347"/>
      <c r="X311" s="249"/>
      <c r="Y311" s="249"/>
      <c r="Z311" s="249"/>
      <c r="AA311" s="249"/>
      <c r="AB311" s="249"/>
      <c r="AC311" s="249"/>
      <c r="AD311" s="249"/>
      <c r="AE311" s="249"/>
      <c r="AF311" s="249"/>
      <c r="AG311" s="353"/>
      <c r="AH311" s="353"/>
      <c r="AI311" s="353"/>
      <c r="AJ311" s="249"/>
      <c r="AK311" s="249"/>
      <c r="AL311" s="249"/>
      <c r="AQ311" s="249"/>
      <c r="AR311" s="249"/>
      <c r="AS311" s="249"/>
      <c r="AT311" s="249"/>
      <c r="AU311" s="249"/>
      <c r="AV311" s="249"/>
      <c r="AX311" s="249"/>
      <c r="AZ311" s="249"/>
      <c r="BB311" s="249"/>
      <c r="BC311" s="249"/>
      <c r="BD311" s="249"/>
      <c r="CB311" s="249"/>
      <c r="CC311" s="249"/>
      <c r="CD311" s="249"/>
      <c r="CE311" s="249"/>
      <c r="CM311" s="249"/>
      <c r="CN311" s="249"/>
      <c r="CO311" s="249"/>
      <c r="CP311" s="249"/>
    </row>
    <row r="312" spans="3:94">
      <c r="C312" s="287"/>
      <c r="D312" s="347"/>
      <c r="E312" s="347"/>
      <c r="F312" s="347"/>
      <c r="G312" s="347"/>
      <c r="H312" s="347"/>
      <c r="K312" s="249"/>
      <c r="O312" s="249"/>
      <c r="P312" s="347"/>
      <c r="X312" s="249"/>
      <c r="Y312" s="249"/>
      <c r="Z312" s="249"/>
      <c r="AA312" s="249"/>
      <c r="AB312" s="249"/>
      <c r="AC312" s="249"/>
      <c r="AD312" s="249"/>
      <c r="AE312" s="249"/>
      <c r="AF312" s="249"/>
      <c r="AG312" s="353"/>
      <c r="AH312" s="353"/>
      <c r="AI312" s="353"/>
      <c r="AJ312" s="249"/>
      <c r="AK312" s="249"/>
      <c r="AL312" s="249"/>
      <c r="AQ312" s="249"/>
      <c r="AR312" s="249"/>
      <c r="AS312" s="249"/>
      <c r="AT312" s="249"/>
      <c r="AU312" s="249"/>
      <c r="AV312" s="249"/>
      <c r="AX312" s="249"/>
      <c r="AZ312" s="249"/>
      <c r="BB312" s="249"/>
      <c r="BC312" s="249"/>
      <c r="BD312" s="249"/>
      <c r="CB312" s="249"/>
      <c r="CC312" s="249"/>
      <c r="CD312" s="249"/>
      <c r="CE312" s="249"/>
      <c r="CM312" s="249"/>
      <c r="CN312" s="249"/>
      <c r="CO312" s="249"/>
      <c r="CP312" s="249"/>
    </row>
    <row r="313" spans="3:94">
      <c r="C313" s="287"/>
      <c r="D313" s="347"/>
      <c r="E313" s="347"/>
      <c r="F313" s="347"/>
      <c r="G313" s="347"/>
      <c r="H313" s="347"/>
      <c r="K313" s="249"/>
      <c r="O313" s="249"/>
      <c r="P313" s="347"/>
      <c r="X313" s="249"/>
      <c r="Y313" s="249"/>
      <c r="Z313" s="249"/>
      <c r="AA313" s="249"/>
      <c r="AB313" s="249"/>
      <c r="AC313" s="249"/>
      <c r="AD313" s="249"/>
      <c r="AE313" s="249"/>
      <c r="AF313" s="249"/>
      <c r="AG313" s="353"/>
      <c r="AH313" s="353"/>
      <c r="AI313" s="353"/>
      <c r="AJ313" s="249"/>
      <c r="AK313" s="249"/>
      <c r="AL313" s="249"/>
      <c r="AQ313" s="249"/>
      <c r="AR313" s="249"/>
      <c r="AS313" s="249"/>
      <c r="AT313" s="249"/>
      <c r="AU313" s="249"/>
      <c r="AV313" s="249"/>
      <c r="AX313" s="249"/>
      <c r="AZ313" s="249"/>
      <c r="BB313" s="249"/>
      <c r="BC313" s="249"/>
      <c r="BD313" s="249"/>
      <c r="CB313" s="249"/>
      <c r="CC313" s="249"/>
      <c r="CD313" s="249"/>
      <c r="CE313" s="249"/>
      <c r="CM313" s="249"/>
      <c r="CN313" s="249"/>
      <c r="CO313" s="249"/>
      <c r="CP313" s="249"/>
    </row>
    <row r="314" spans="3:94">
      <c r="C314" s="287"/>
      <c r="D314" s="347"/>
      <c r="E314" s="347"/>
      <c r="F314" s="347"/>
      <c r="G314" s="347"/>
      <c r="H314" s="347"/>
      <c r="K314" s="249"/>
      <c r="O314" s="249"/>
      <c r="P314" s="347"/>
      <c r="X314" s="249"/>
      <c r="Y314" s="249"/>
      <c r="Z314" s="249"/>
      <c r="AA314" s="249"/>
      <c r="AB314" s="249"/>
      <c r="AC314" s="249"/>
      <c r="AD314" s="249"/>
      <c r="AE314" s="249"/>
      <c r="AF314" s="249"/>
      <c r="AG314" s="353"/>
      <c r="AH314" s="353"/>
      <c r="AI314" s="353"/>
      <c r="AJ314" s="249"/>
      <c r="AK314" s="249"/>
      <c r="AL314" s="249"/>
      <c r="AQ314" s="249"/>
      <c r="AR314" s="249"/>
      <c r="AS314" s="249"/>
      <c r="AT314" s="249"/>
      <c r="AU314" s="249"/>
      <c r="AV314" s="249"/>
      <c r="AX314" s="249"/>
      <c r="AZ314" s="249"/>
      <c r="BB314" s="249"/>
      <c r="BC314" s="249"/>
      <c r="BD314" s="249"/>
      <c r="CB314" s="249"/>
      <c r="CC314" s="249"/>
      <c r="CD314" s="249"/>
      <c r="CE314" s="249"/>
      <c r="CM314" s="249"/>
      <c r="CN314" s="249"/>
      <c r="CO314" s="249"/>
      <c r="CP314" s="249"/>
    </row>
    <row r="315" spans="3:94">
      <c r="C315" s="287"/>
      <c r="D315" s="347"/>
      <c r="E315" s="347"/>
      <c r="F315" s="347"/>
      <c r="G315" s="347"/>
      <c r="H315" s="347"/>
      <c r="K315" s="249"/>
      <c r="O315" s="249"/>
      <c r="P315" s="347"/>
      <c r="X315" s="249"/>
      <c r="Y315" s="249"/>
      <c r="Z315" s="249"/>
      <c r="AA315" s="249"/>
      <c r="AB315" s="249"/>
      <c r="AC315" s="249"/>
      <c r="AD315" s="249"/>
      <c r="AE315" s="249"/>
      <c r="AF315" s="249"/>
      <c r="AG315" s="353"/>
      <c r="AH315" s="353"/>
      <c r="AI315" s="353"/>
      <c r="AJ315" s="249"/>
      <c r="AK315" s="249"/>
      <c r="AL315" s="249"/>
      <c r="AQ315" s="249"/>
      <c r="AR315" s="249"/>
      <c r="AS315" s="249"/>
      <c r="AT315" s="249"/>
      <c r="AU315" s="249"/>
      <c r="AV315" s="249"/>
      <c r="AX315" s="249"/>
      <c r="AZ315" s="249"/>
      <c r="BB315" s="249"/>
      <c r="BC315" s="249"/>
      <c r="BD315" s="249"/>
      <c r="CB315" s="249"/>
      <c r="CC315" s="249"/>
      <c r="CD315" s="249"/>
      <c r="CE315" s="249"/>
      <c r="CM315" s="249"/>
      <c r="CN315" s="249"/>
      <c r="CO315" s="249"/>
      <c r="CP315" s="249"/>
    </row>
    <row r="316" spans="3:94">
      <c r="C316" s="287"/>
      <c r="D316" s="347"/>
      <c r="E316" s="347"/>
      <c r="F316" s="347"/>
      <c r="G316" s="347"/>
      <c r="H316" s="347"/>
      <c r="K316" s="249"/>
      <c r="O316" s="249"/>
      <c r="P316" s="347"/>
      <c r="X316" s="249"/>
      <c r="Y316" s="249"/>
      <c r="Z316" s="249"/>
      <c r="AA316" s="249"/>
      <c r="AB316" s="249"/>
      <c r="AC316" s="249"/>
      <c r="AD316" s="249"/>
      <c r="AE316" s="249"/>
      <c r="AF316" s="249"/>
      <c r="AG316" s="353"/>
      <c r="AH316" s="353"/>
      <c r="AI316" s="353"/>
      <c r="AJ316" s="249"/>
      <c r="AK316" s="249"/>
      <c r="AL316" s="249"/>
      <c r="AQ316" s="249"/>
      <c r="AR316" s="249"/>
      <c r="AS316" s="249"/>
      <c r="AT316" s="249"/>
      <c r="AU316" s="249"/>
      <c r="AV316" s="249"/>
      <c r="AX316" s="249"/>
      <c r="AZ316" s="249"/>
      <c r="BB316" s="249"/>
      <c r="BC316" s="249"/>
      <c r="BD316" s="249"/>
      <c r="CB316" s="249"/>
      <c r="CC316" s="249"/>
      <c r="CD316" s="249"/>
      <c r="CE316" s="249"/>
      <c r="CM316" s="249"/>
      <c r="CN316" s="249"/>
      <c r="CO316" s="249"/>
      <c r="CP316" s="249"/>
    </row>
    <row r="317" spans="3:94">
      <c r="C317" s="287"/>
      <c r="D317" s="347"/>
      <c r="E317" s="347"/>
      <c r="F317" s="347"/>
      <c r="G317" s="347"/>
      <c r="H317" s="347"/>
      <c r="K317" s="249"/>
      <c r="O317" s="249"/>
      <c r="P317" s="347"/>
      <c r="X317" s="249"/>
      <c r="Y317" s="249"/>
      <c r="Z317" s="249"/>
      <c r="AA317" s="249"/>
      <c r="AB317" s="249"/>
      <c r="AC317" s="249"/>
      <c r="AD317" s="249"/>
      <c r="AE317" s="249"/>
      <c r="AF317" s="249"/>
      <c r="AG317" s="353"/>
      <c r="AH317" s="353"/>
      <c r="AI317" s="353"/>
      <c r="AJ317" s="249"/>
      <c r="AK317" s="249"/>
      <c r="AL317" s="249"/>
      <c r="AQ317" s="249"/>
      <c r="AR317" s="249"/>
      <c r="AS317" s="249"/>
      <c r="AT317" s="249"/>
      <c r="AU317" s="249"/>
      <c r="AV317" s="249"/>
      <c r="AX317" s="249"/>
      <c r="AZ317" s="249"/>
      <c r="BB317" s="249"/>
      <c r="BC317" s="249"/>
      <c r="BD317" s="249"/>
      <c r="CB317" s="249"/>
      <c r="CC317" s="249"/>
      <c r="CD317" s="249"/>
      <c r="CE317" s="249"/>
      <c r="CM317" s="249"/>
      <c r="CN317" s="249"/>
      <c r="CO317" s="249"/>
      <c r="CP317" s="249"/>
    </row>
    <row r="318" spans="3:94">
      <c r="C318" s="287"/>
      <c r="D318" s="347"/>
      <c r="E318" s="347"/>
      <c r="F318" s="347"/>
      <c r="G318" s="347"/>
      <c r="H318" s="347"/>
      <c r="K318" s="249"/>
      <c r="O318" s="249"/>
      <c r="P318" s="347"/>
      <c r="X318" s="249"/>
      <c r="Y318" s="249"/>
      <c r="Z318" s="249"/>
      <c r="AA318" s="249"/>
      <c r="AB318" s="249"/>
      <c r="AC318" s="249"/>
      <c r="AD318" s="249"/>
      <c r="AE318" s="249"/>
      <c r="AF318" s="249"/>
      <c r="AG318" s="353"/>
      <c r="AH318" s="353"/>
      <c r="AI318" s="353"/>
      <c r="AJ318" s="249"/>
      <c r="AK318" s="249"/>
      <c r="AL318" s="249"/>
      <c r="AQ318" s="249"/>
      <c r="AR318" s="249"/>
      <c r="AS318" s="249"/>
      <c r="AT318" s="249"/>
      <c r="AU318" s="249"/>
      <c r="AV318" s="249"/>
      <c r="AX318" s="249"/>
      <c r="AZ318" s="249"/>
      <c r="BB318" s="249"/>
      <c r="BC318" s="249"/>
      <c r="BD318" s="249"/>
      <c r="CB318" s="249"/>
      <c r="CC318" s="249"/>
      <c r="CD318" s="249"/>
      <c r="CE318" s="249"/>
      <c r="CM318" s="249"/>
      <c r="CN318" s="249"/>
      <c r="CO318" s="249"/>
      <c r="CP318" s="249"/>
    </row>
    <row r="319" spans="3:94">
      <c r="C319" s="287"/>
      <c r="D319" s="347"/>
      <c r="E319" s="347"/>
      <c r="F319" s="347"/>
      <c r="G319" s="347"/>
      <c r="H319" s="347"/>
      <c r="K319" s="249"/>
      <c r="O319" s="249"/>
      <c r="P319" s="347"/>
      <c r="X319" s="249"/>
      <c r="Y319" s="249"/>
      <c r="Z319" s="249"/>
      <c r="AA319" s="249"/>
      <c r="AB319" s="249"/>
      <c r="AC319" s="249"/>
      <c r="AD319" s="249"/>
      <c r="AE319" s="249"/>
      <c r="AF319" s="249"/>
      <c r="AG319" s="353"/>
      <c r="AH319" s="353"/>
      <c r="AI319" s="353"/>
      <c r="AJ319" s="249"/>
      <c r="AK319" s="249"/>
      <c r="AL319" s="249"/>
      <c r="AQ319" s="249"/>
      <c r="AR319" s="249"/>
      <c r="AS319" s="249"/>
      <c r="AT319" s="249"/>
      <c r="AU319" s="249"/>
      <c r="AV319" s="249"/>
      <c r="AX319" s="249"/>
      <c r="AZ319" s="249"/>
      <c r="BB319" s="249"/>
      <c r="BC319" s="249"/>
      <c r="BD319" s="249"/>
      <c r="CB319" s="249"/>
      <c r="CC319" s="249"/>
      <c r="CD319" s="249"/>
      <c r="CE319" s="249"/>
      <c r="CM319" s="249"/>
      <c r="CN319" s="249"/>
      <c r="CO319" s="249"/>
      <c r="CP319" s="249"/>
    </row>
    <row r="320" spans="3:94">
      <c r="C320" s="287"/>
      <c r="D320" s="347"/>
      <c r="E320" s="347"/>
      <c r="F320" s="347"/>
      <c r="G320" s="347"/>
      <c r="H320" s="347"/>
      <c r="K320" s="249"/>
      <c r="O320" s="249"/>
      <c r="P320" s="347"/>
      <c r="X320" s="249"/>
      <c r="Y320" s="249"/>
      <c r="Z320" s="249"/>
      <c r="AA320" s="249"/>
      <c r="AB320" s="249"/>
      <c r="AC320" s="249"/>
      <c r="AD320" s="249"/>
      <c r="AE320" s="249"/>
      <c r="AF320" s="249"/>
      <c r="AG320" s="353"/>
      <c r="AH320" s="353"/>
      <c r="AI320" s="353"/>
      <c r="AJ320" s="249"/>
      <c r="AK320" s="249"/>
      <c r="AL320" s="249"/>
      <c r="AQ320" s="249"/>
      <c r="AR320" s="249"/>
      <c r="AS320" s="249"/>
      <c r="AT320" s="249"/>
      <c r="AU320" s="249"/>
      <c r="AV320" s="249"/>
      <c r="AX320" s="249"/>
      <c r="AZ320" s="249"/>
      <c r="BB320" s="249"/>
      <c r="BC320" s="249"/>
      <c r="BD320" s="249"/>
      <c r="CB320" s="249"/>
      <c r="CC320" s="249"/>
      <c r="CD320" s="249"/>
      <c r="CE320" s="249"/>
      <c r="CM320" s="249"/>
      <c r="CN320" s="249"/>
      <c r="CO320" s="249"/>
      <c r="CP320" s="249"/>
    </row>
    <row r="321" spans="3:94">
      <c r="C321" s="287"/>
      <c r="D321" s="347"/>
      <c r="E321" s="347"/>
      <c r="F321" s="347"/>
      <c r="G321" s="347"/>
      <c r="H321" s="347"/>
      <c r="K321" s="249"/>
      <c r="O321" s="249"/>
      <c r="P321" s="347"/>
      <c r="X321" s="249"/>
      <c r="Y321" s="249"/>
      <c r="Z321" s="249"/>
      <c r="AA321" s="249"/>
      <c r="AB321" s="249"/>
      <c r="AC321" s="249"/>
      <c r="AD321" s="249"/>
      <c r="AE321" s="249"/>
      <c r="AF321" s="249"/>
      <c r="AG321" s="353"/>
      <c r="AH321" s="353"/>
      <c r="AI321" s="353"/>
      <c r="AJ321" s="249"/>
      <c r="AK321" s="249"/>
      <c r="AL321" s="249"/>
      <c r="AQ321" s="249"/>
      <c r="AR321" s="249"/>
      <c r="AS321" s="249"/>
      <c r="AT321" s="249"/>
      <c r="AU321" s="249"/>
      <c r="AV321" s="249"/>
      <c r="AX321" s="249"/>
      <c r="AZ321" s="249"/>
      <c r="BB321" s="249"/>
      <c r="BC321" s="249"/>
      <c r="BD321" s="249"/>
      <c r="CB321" s="249"/>
      <c r="CC321" s="249"/>
      <c r="CD321" s="249"/>
      <c r="CE321" s="249"/>
      <c r="CM321" s="249"/>
      <c r="CN321" s="249"/>
      <c r="CO321" s="249"/>
      <c r="CP321" s="249"/>
    </row>
    <row r="322" spans="3:94">
      <c r="C322" s="287"/>
      <c r="D322" s="347"/>
      <c r="E322" s="347"/>
      <c r="F322" s="347"/>
      <c r="G322" s="347"/>
      <c r="H322" s="347"/>
      <c r="K322" s="249"/>
      <c r="O322" s="249"/>
      <c r="P322" s="347"/>
      <c r="X322" s="249"/>
      <c r="Y322" s="249"/>
      <c r="Z322" s="249"/>
      <c r="AA322" s="249"/>
      <c r="AB322" s="249"/>
      <c r="AC322" s="249"/>
      <c r="AD322" s="249"/>
      <c r="AE322" s="249"/>
      <c r="AF322" s="249"/>
      <c r="AG322" s="353"/>
      <c r="AH322" s="353"/>
      <c r="AI322" s="353"/>
      <c r="AJ322" s="249"/>
      <c r="AK322" s="249"/>
      <c r="AL322" s="249"/>
      <c r="AQ322" s="249"/>
      <c r="AR322" s="249"/>
      <c r="AS322" s="249"/>
      <c r="AT322" s="249"/>
      <c r="AU322" s="249"/>
      <c r="AV322" s="249"/>
      <c r="AX322" s="249"/>
      <c r="AZ322" s="249"/>
      <c r="BB322" s="249"/>
      <c r="BC322" s="249"/>
      <c r="BD322" s="249"/>
      <c r="CB322" s="249"/>
      <c r="CC322" s="249"/>
      <c r="CD322" s="249"/>
      <c r="CE322" s="249"/>
      <c r="CM322" s="249"/>
      <c r="CN322" s="249"/>
      <c r="CO322" s="249"/>
      <c r="CP322" s="249"/>
    </row>
    <row r="323" spans="3:94">
      <c r="C323" s="287"/>
      <c r="D323" s="347"/>
      <c r="E323" s="347"/>
      <c r="F323" s="347"/>
      <c r="G323" s="347"/>
      <c r="H323" s="347"/>
      <c r="K323" s="249"/>
      <c r="O323" s="249"/>
      <c r="P323" s="347"/>
      <c r="X323" s="249"/>
      <c r="Y323" s="249"/>
      <c r="Z323" s="249"/>
      <c r="AA323" s="249"/>
      <c r="AB323" s="249"/>
      <c r="AC323" s="249"/>
      <c r="AD323" s="249"/>
      <c r="AE323" s="249"/>
      <c r="AF323" s="249"/>
      <c r="AG323" s="353"/>
      <c r="AH323" s="353"/>
      <c r="AI323" s="353"/>
      <c r="AJ323" s="249"/>
      <c r="AK323" s="249"/>
      <c r="AL323" s="249"/>
      <c r="AQ323" s="249"/>
      <c r="AR323" s="249"/>
      <c r="AS323" s="249"/>
      <c r="AT323" s="249"/>
      <c r="AU323" s="249"/>
      <c r="AV323" s="249"/>
      <c r="AX323" s="249"/>
      <c r="AZ323" s="249"/>
      <c r="BB323" s="249"/>
      <c r="BC323" s="249"/>
      <c r="BD323" s="249"/>
      <c r="CB323" s="249"/>
      <c r="CC323" s="249"/>
      <c r="CD323" s="249"/>
      <c r="CE323" s="249"/>
      <c r="CM323" s="249"/>
      <c r="CN323" s="249"/>
      <c r="CO323" s="249"/>
      <c r="CP323" s="249"/>
    </row>
    <row r="324" spans="3:94">
      <c r="C324" s="287"/>
      <c r="D324" s="347"/>
      <c r="E324" s="347"/>
      <c r="F324" s="347"/>
      <c r="G324" s="347"/>
      <c r="H324" s="347"/>
      <c r="K324" s="249"/>
      <c r="O324" s="249"/>
      <c r="P324" s="347"/>
      <c r="X324" s="249"/>
      <c r="Y324" s="249"/>
      <c r="Z324" s="249"/>
      <c r="AA324" s="249"/>
      <c r="AB324" s="249"/>
      <c r="AC324" s="249"/>
      <c r="AD324" s="249"/>
      <c r="AE324" s="249"/>
      <c r="AF324" s="249"/>
      <c r="AG324" s="353"/>
      <c r="AH324" s="353"/>
      <c r="AI324" s="353"/>
      <c r="AJ324" s="249"/>
      <c r="AK324" s="249"/>
      <c r="AL324" s="249"/>
      <c r="AQ324" s="249"/>
      <c r="AR324" s="249"/>
      <c r="AS324" s="249"/>
      <c r="AT324" s="249"/>
      <c r="AU324" s="249"/>
      <c r="AV324" s="249"/>
      <c r="AX324" s="249"/>
      <c r="AZ324" s="249"/>
      <c r="BB324" s="249"/>
      <c r="BC324" s="249"/>
      <c r="BD324" s="249"/>
      <c r="CB324" s="249"/>
      <c r="CC324" s="249"/>
      <c r="CD324" s="249"/>
      <c r="CE324" s="249"/>
      <c r="CM324" s="249"/>
      <c r="CN324" s="249"/>
      <c r="CO324" s="249"/>
      <c r="CP324" s="249"/>
    </row>
    <row r="325" spans="3:94">
      <c r="C325" s="287"/>
      <c r="D325" s="347"/>
      <c r="E325" s="347"/>
      <c r="F325" s="347"/>
      <c r="G325" s="347"/>
      <c r="H325" s="347"/>
      <c r="K325" s="249"/>
      <c r="O325" s="249"/>
      <c r="P325" s="347"/>
      <c r="X325" s="249"/>
      <c r="Y325" s="249"/>
      <c r="Z325" s="249"/>
      <c r="AA325" s="249"/>
      <c r="AB325" s="249"/>
      <c r="AC325" s="249"/>
      <c r="AD325" s="249"/>
      <c r="AE325" s="249"/>
      <c r="AF325" s="249"/>
      <c r="AG325" s="353"/>
      <c r="AH325" s="353"/>
      <c r="AI325" s="353"/>
      <c r="AJ325" s="249"/>
      <c r="AK325" s="249"/>
      <c r="AL325" s="249"/>
      <c r="AQ325" s="249"/>
      <c r="AR325" s="249"/>
      <c r="AS325" s="249"/>
      <c r="AT325" s="249"/>
      <c r="AU325" s="249"/>
      <c r="AV325" s="249"/>
      <c r="AX325" s="249"/>
      <c r="AZ325" s="249"/>
      <c r="BB325" s="249"/>
      <c r="BC325" s="249"/>
      <c r="BD325" s="249"/>
      <c r="CB325" s="249"/>
      <c r="CC325" s="249"/>
      <c r="CD325" s="249"/>
      <c r="CE325" s="249"/>
      <c r="CM325" s="249"/>
      <c r="CN325" s="249"/>
      <c r="CO325" s="249"/>
      <c r="CP325" s="249"/>
    </row>
    <row r="326" spans="3:94">
      <c r="C326" s="287"/>
      <c r="D326" s="347"/>
      <c r="E326" s="347"/>
      <c r="F326" s="347"/>
      <c r="G326" s="347"/>
      <c r="H326" s="347"/>
      <c r="K326" s="249"/>
      <c r="O326" s="249"/>
      <c r="P326" s="347"/>
      <c r="X326" s="249"/>
      <c r="Y326" s="249"/>
      <c r="Z326" s="249"/>
      <c r="AA326" s="249"/>
      <c r="AB326" s="249"/>
      <c r="AC326" s="249"/>
      <c r="AD326" s="249"/>
      <c r="AE326" s="249"/>
      <c r="AF326" s="249"/>
      <c r="AG326" s="353"/>
      <c r="AH326" s="353"/>
      <c r="AI326" s="353"/>
      <c r="AJ326" s="249"/>
      <c r="AK326" s="249"/>
      <c r="AL326" s="249"/>
      <c r="AQ326" s="249"/>
      <c r="AR326" s="249"/>
      <c r="AS326" s="249"/>
      <c r="AT326" s="249"/>
      <c r="AU326" s="249"/>
      <c r="AV326" s="249"/>
      <c r="AX326" s="249"/>
      <c r="AZ326" s="249"/>
      <c r="BB326" s="249"/>
      <c r="BC326" s="249"/>
      <c r="BD326" s="249"/>
      <c r="CB326" s="249"/>
      <c r="CC326" s="249"/>
      <c r="CD326" s="249"/>
      <c r="CE326" s="249"/>
      <c r="CM326" s="249"/>
      <c r="CN326" s="249"/>
      <c r="CO326" s="249"/>
      <c r="CP326" s="249"/>
    </row>
    <row r="327" spans="3:94">
      <c r="C327" s="287"/>
      <c r="D327" s="347"/>
      <c r="E327" s="347"/>
      <c r="F327" s="347"/>
      <c r="G327" s="347"/>
      <c r="H327" s="347"/>
      <c r="K327" s="249"/>
      <c r="O327" s="249"/>
      <c r="P327" s="347"/>
      <c r="X327" s="249"/>
      <c r="Y327" s="249"/>
      <c r="Z327" s="249"/>
      <c r="AA327" s="249"/>
      <c r="AB327" s="249"/>
      <c r="AC327" s="249"/>
      <c r="AD327" s="249"/>
      <c r="AE327" s="249"/>
      <c r="AF327" s="249"/>
      <c r="AG327" s="353"/>
      <c r="AH327" s="353"/>
      <c r="AI327" s="353"/>
      <c r="AJ327" s="249"/>
      <c r="AK327" s="249"/>
      <c r="AL327" s="249"/>
      <c r="AQ327" s="249"/>
      <c r="AR327" s="249"/>
      <c r="AS327" s="249"/>
      <c r="AT327" s="249"/>
      <c r="AU327" s="249"/>
      <c r="AV327" s="249"/>
      <c r="AX327" s="249"/>
      <c r="AZ327" s="249"/>
      <c r="BB327" s="249"/>
      <c r="BC327" s="249"/>
      <c r="BD327" s="249"/>
      <c r="CB327" s="249"/>
      <c r="CC327" s="249"/>
      <c r="CD327" s="249"/>
      <c r="CE327" s="249"/>
      <c r="CM327" s="249"/>
      <c r="CN327" s="249"/>
      <c r="CO327" s="249"/>
      <c r="CP327" s="249"/>
    </row>
    <row r="328" spans="3:94">
      <c r="C328" s="287"/>
      <c r="D328" s="347"/>
      <c r="E328" s="347"/>
      <c r="F328" s="347"/>
      <c r="G328" s="347"/>
      <c r="H328" s="347"/>
      <c r="K328" s="249"/>
      <c r="O328" s="249"/>
      <c r="P328" s="347"/>
      <c r="X328" s="249"/>
      <c r="Y328" s="249"/>
      <c r="Z328" s="249"/>
      <c r="AA328" s="249"/>
      <c r="AB328" s="249"/>
      <c r="AC328" s="249"/>
      <c r="AD328" s="249"/>
      <c r="AE328" s="249"/>
      <c r="AF328" s="249"/>
      <c r="AG328" s="353"/>
      <c r="AH328" s="353"/>
      <c r="AI328" s="353"/>
      <c r="AJ328" s="249"/>
      <c r="AK328" s="249"/>
      <c r="AL328" s="249"/>
      <c r="AQ328" s="249"/>
      <c r="AR328" s="249"/>
      <c r="AS328" s="249"/>
      <c r="AT328" s="249"/>
      <c r="AU328" s="249"/>
      <c r="AV328" s="249"/>
      <c r="AX328" s="249"/>
      <c r="AZ328" s="249"/>
      <c r="BB328" s="249"/>
      <c r="BC328" s="249"/>
      <c r="BD328" s="249"/>
      <c r="CB328" s="249"/>
      <c r="CC328" s="249"/>
      <c r="CD328" s="249"/>
      <c r="CE328" s="249"/>
      <c r="CM328" s="249"/>
      <c r="CN328" s="249"/>
      <c r="CO328" s="249"/>
      <c r="CP328" s="249"/>
    </row>
  </sheetData>
  <mergeCells count="14">
    <mergeCell ref="BW50:CF50"/>
    <mergeCell ref="CH50:CQ50"/>
    <mergeCell ref="CS50:DA50"/>
    <mergeCell ref="A1:BG1"/>
    <mergeCell ref="D50:J50"/>
    <mergeCell ref="L50:N50"/>
    <mergeCell ref="P50:V50"/>
    <mergeCell ref="X50:AB50"/>
    <mergeCell ref="AC50:AF50"/>
    <mergeCell ref="AG50:AM50"/>
    <mergeCell ref="AN50:BA50"/>
    <mergeCell ref="BC50:BG50"/>
    <mergeCell ref="BI50:BL50"/>
    <mergeCell ref="BN50:BU50"/>
  </mergeCells>
  <phoneticPr fontId="112" type="noConversion"/>
  <conditionalFormatting sqref="BC58:BE58 BC53:BE53">
    <cfRule type="expression" dxfId="11" priority="18">
      <formula>BC53&gt;10</formula>
    </cfRule>
  </conditionalFormatting>
  <conditionalFormatting sqref="BC58:BE58 BC53:BE53">
    <cfRule type="expression" dxfId="10" priority="17">
      <formula>BC53&lt;-10</formula>
    </cfRule>
  </conditionalFormatting>
  <conditionalFormatting sqref="BF53:BG53">
    <cfRule type="cellIs" dxfId="9" priority="19" operator="lessThan">
      <formula>0</formula>
    </cfRule>
    <cfRule type="cellIs" dxfId="8" priority="20" operator="greaterThan">
      <formula>0</formula>
    </cfRule>
  </conditionalFormatting>
  <conditionalFormatting sqref="BC54:BE54">
    <cfRule type="expression" dxfId="7" priority="14">
      <formula>BC54&gt;10</formula>
    </cfRule>
  </conditionalFormatting>
  <conditionalFormatting sqref="BC54:BE54">
    <cfRule type="expression" dxfId="6" priority="13">
      <formula>BC54&lt;-10</formula>
    </cfRule>
  </conditionalFormatting>
  <conditionalFormatting sqref="BF54:BG54">
    <cfRule type="cellIs" dxfId="5" priority="15" operator="lessThan">
      <formula>0</formula>
    </cfRule>
    <cfRule type="cellIs" dxfId="4" priority="16" operator="greaterThan">
      <formula>0</formula>
    </cfRule>
  </conditionalFormatting>
  <conditionalFormatting sqref="BC55:BE57">
    <cfRule type="expression" dxfId="3" priority="10">
      <formula>BC55&gt;10</formula>
    </cfRule>
  </conditionalFormatting>
  <conditionalFormatting sqref="BC55:BE57">
    <cfRule type="expression" dxfId="2" priority="9">
      <formula>BC55&lt;-10</formula>
    </cfRule>
  </conditionalFormatting>
  <conditionalFormatting sqref="BF55:BG57">
    <cfRule type="cellIs" dxfId="1" priority="11" operator="lessThan">
      <formula>0</formula>
    </cfRule>
    <cfRule type="cellIs" dxfId="0" priority="12" operator="greater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workbookViewId="0">
      <selection activeCell="E49" sqref="E49:O49"/>
    </sheetView>
  </sheetViews>
  <sheetFormatPr defaultColWidth="9.140625" defaultRowHeight="12.75"/>
  <cols>
    <col min="1" max="3" width="7.7109375" style="411" customWidth="1"/>
    <col min="4" max="4" width="9.140625" style="411"/>
    <col min="5" max="7" width="7.7109375" style="411" customWidth="1"/>
    <col min="8" max="16384" width="9.140625" style="411"/>
  </cols>
  <sheetData>
    <row r="1" spans="1:13" ht="18" customHeight="1">
      <c r="A1" s="617" t="s">
        <v>473</v>
      </c>
      <c r="B1" s="618"/>
      <c r="C1" s="618"/>
      <c r="D1" s="618"/>
      <c r="E1" s="618"/>
      <c r="F1" s="618"/>
      <c r="G1" s="618"/>
      <c r="H1" s="618"/>
      <c r="I1" s="618"/>
      <c r="J1" s="618"/>
      <c r="K1" s="618"/>
      <c r="L1" s="619"/>
    </row>
    <row r="2" spans="1:13" ht="18" customHeight="1">
      <c r="A2" s="620" t="s">
        <v>474</v>
      </c>
      <c r="B2" s="621"/>
      <c r="C2" s="621"/>
      <c r="D2" s="621"/>
      <c r="E2" s="621"/>
      <c r="F2" s="621"/>
      <c r="G2" s="621"/>
      <c r="H2" s="621"/>
      <c r="I2" s="621"/>
      <c r="J2" s="621"/>
      <c r="K2" s="621"/>
      <c r="L2" s="622"/>
    </row>
    <row r="3" spans="1:13" ht="12.75" customHeight="1">
      <c r="A3" s="412"/>
      <c r="B3" s="412"/>
      <c r="C3" s="412"/>
      <c r="D3" s="412"/>
      <c r="E3" s="412"/>
      <c r="F3" s="412"/>
      <c r="G3" s="412"/>
      <c r="H3" s="412"/>
      <c r="I3" s="412"/>
      <c r="J3" s="412"/>
      <c r="K3" s="412"/>
    </row>
    <row r="4" spans="1:13" ht="12.75" customHeight="1">
      <c r="A4" s="413" t="s">
        <v>475</v>
      </c>
      <c r="B4" s="412"/>
      <c r="C4" s="412"/>
      <c r="D4" s="412"/>
      <c r="E4" s="412"/>
      <c r="F4" s="412"/>
      <c r="G4" s="412"/>
      <c r="H4" s="412"/>
      <c r="I4" s="412"/>
      <c r="J4" s="412"/>
      <c r="K4" s="412"/>
    </row>
    <row r="5" spans="1:13" ht="88.5" customHeight="1">
      <c r="A5" s="616" t="s">
        <v>476</v>
      </c>
      <c r="B5" s="616"/>
      <c r="C5" s="616"/>
      <c r="D5" s="616"/>
      <c r="E5" s="616"/>
      <c r="F5" s="616"/>
      <c r="G5" s="616"/>
      <c r="H5" s="616"/>
      <c r="I5" s="616"/>
      <c r="J5" s="616"/>
      <c r="K5" s="616"/>
      <c r="L5" s="616"/>
      <c r="M5"/>
    </row>
    <row r="7" spans="1:13">
      <c r="A7" s="414" t="s">
        <v>477</v>
      </c>
    </row>
    <row r="8" spans="1:13" ht="21.75" customHeight="1">
      <c r="A8" s="623" t="s">
        <v>478</v>
      </c>
      <c r="B8" s="623"/>
      <c r="C8" s="623"/>
      <c r="D8" s="623"/>
      <c r="E8" s="623"/>
      <c r="F8" s="623"/>
      <c r="G8" s="623"/>
      <c r="H8" s="623"/>
      <c r="I8" s="623"/>
      <c r="J8" s="623"/>
      <c r="K8" s="623"/>
    </row>
    <row r="9" spans="1:13">
      <c r="A9" s="411" t="s">
        <v>479</v>
      </c>
      <c r="C9" s="252"/>
    </row>
    <row r="10" spans="1:13" ht="12.75" customHeight="1">
      <c r="A10" s="411" t="s">
        <v>480</v>
      </c>
      <c r="B10" s="252" t="s">
        <v>481</v>
      </c>
      <c r="C10" s="366"/>
      <c r="D10" s="364" t="s">
        <v>482</v>
      </c>
      <c r="E10" s="415"/>
    </row>
    <row r="11" spans="1:13" ht="12.75" customHeight="1">
      <c r="A11" s="411" t="s">
        <v>483</v>
      </c>
      <c r="B11" s="252" t="s">
        <v>481</v>
      </c>
      <c r="C11" s="366"/>
      <c r="D11" s="364" t="s">
        <v>484</v>
      </c>
      <c r="E11" s="415"/>
    </row>
    <row r="12" spans="1:13" ht="12.75" customHeight="1">
      <c r="A12" s="416" t="s">
        <v>485</v>
      </c>
      <c r="C12" s="252">
        <v>0.25</v>
      </c>
      <c r="D12" s="249" t="s">
        <v>486</v>
      </c>
      <c r="E12" s="417"/>
    </row>
    <row r="13" spans="1:13" ht="12.75" customHeight="1">
      <c r="A13" s="418" t="s">
        <v>487</v>
      </c>
      <c r="C13" s="366"/>
      <c r="D13" s="364" t="s">
        <v>488</v>
      </c>
      <c r="E13" s="415"/>
    </row>
    <row r="14" spans="1:13" ht="12.75" customHeight="1">
      <c r="A14" s="418"/>
      <c r="C14" s="366"/>
      <c r="D14" s="364"/>
      <c r="E14" s="419" t="s">
        <v>489</v>
      </c>
    </row>
    <row r="15" spans="1:13" ht="12.75" customHeight="1">
      <c r="A15" s="418"/>
      <c r="C15" s="366"/>
      <c r="D15" s="420">
        <v>1</v>
      </c>
      <c r="E15" s="419" t="s">
        <v>490</v>
      </c>
    </row>
    <row r="16" spans="1:13" ht="12.75" customHeight="1">
      <c r="A16" s="418"/>
      <c r="C16" s="366"/>
      <c r="D16" s="420">
        <v>0.95</v>
      </c>
      <c r="E16" s="419" t="s">
        <v>491</v>
      </c>
    </row>
    <row r="17" spans="1:6" ht="12.75" customHeight="1">
      <c r="A17" s="418"/>
      <c r="C17" s="366"/>
      <c r="D17" s="420">
        <v>0.9</v>
      </c>
      <c r="E17" s="419" t="s">
        <v>492</v>
      </c>
    </row>
    <row r="18" spans="1:6" ht="12.75" customHeight="1">
      <c r="A18" s="418"/>
      <c r="C18" s="366"/>
      <c r="D18" s="420">
        <v>0.85</v>
      </c>
      <c r="E18" s="419" t="s">
        <v>493</v>
      </c>
    </row>
    <row r="19" spans="1:6" ht="15.75">
      <c r="A19" s="416" t="s">
        <v>494</v>
      </c>
      <c r="C19" s="252"/>
      <c r="D19" s="411" t="s">
        <v>495</v>
      </c>
    </row>
    <row r="20" spans="1:6" ht="15.75">
      <c r="A20" s="416"/>
      <c r="C20" s="252"/>
      <c r="D20" s="411" t="s">
        <v>496</v>
      </c>
    </row>
    <row r="21" spans="1:6">
      <c r="A21" s="416"/>
      <c r="C21" s="252"/>
      <c r="D21" s="411" t="s">
        <v>497</v>
      </c>
    </row>
    <row r="22" spans="1:6" ht="15.75">
      <c r="A22" s="416"/>
      <c r="C22" s="252"/>
      <c r="D22" s="411" t="s">
        <v>498</v>
      </c>
      <c r="E22" s="252" t="s">
        <v>300</v>
      </c>
      <c r="F22" s="411" t="s">
        <v>499</v>
      </c>
    </row>
    <row r="23" spans="1:6" ht="15.75">
      <c r="A23" s="416"/>
      <c r="D23" s="411" t="s">
        <v>500</v>
      </c>
      <c r="E23" s="252" t="s">
        <v>300</v>
      </c>
      <c r="F23" s="411" t="s">
        <v>501</v>
      </c>
    </row>
    <row r="24" spans="1:6" ht="15.75">
      <c r="A24" s="416" t="s">
        <v>502</v>
      </c>
      <c r="D24" s="411" t="s">
        <v>503</v>
      </c>
    </row>
    <row r="25" spans="1:6" ht="15.75">
      <c r="A25" s="421"/>
      <c r="D25" s="422" t="s">
        <v>504</v>
      </c>
      <c r="E25" s="423"/>
      <c r="F25" s="423" t="s">
        <v>505</v>
      </c>
    </row>
    <row r="26" spans="1:6" ht="15.75">
      <c r="A26" s="421"/>
      <c r="D26" s="422" t="s">
        <v>11</v>
      </c>
      <c r="E26" s="424"/>
      <c r="F26" s="424" t="s">
        <v>506</v>
      </c>
    </row>
    <row r="27" spans="1:6">
      <c r="A27" s="421"/>
      <c r="D27" s="422" t="s">
        <v>99</v>
      </c>
      <c r="E27" s="425"/>
      <c r="F27" s="425">
        <v>0.01</v>
      </c>
    </row>
    <row r="28" spans="1:6">
      <c r="A28" s="421"/>
      <c r="D28" s="422" t="s">
        <v>507</v>
      </c>
      <c r="E28" s="425"/>
      <c r="F28" s="425">
        <v>0.1</v>
      </c>
    </row>
    <row r="29" spans="1:6">
      <c r="A29" s="421"/>
      <c r="D29" s="422" t="s">
        <v>508</v>
      </c>
      <c r="E29" s="425"/>
      <c r="F29" s="425">
        <v>0.1</v>
      </c>
    </row>
    <row r="30" spans="1:6">
      <c r="A30" s="421"/>
      <c r="D30" s="422" t="s">
        <v>509</v>
      </c>
      <c r="E30" s="425"/>
      <c r="F30" s="425">
        <v>0.1</v>
      </c>
    </row>
    <row r="31" spans="1:6" ht="15.75">
      <c r="A31" s="421"/>
      <c r="D31" s="422" t="s">
        <v>510</v>
      </c>
      <c r="E31" s="423"/>
      <c r="F31" s="423">
        <v>0.1</v>
      </c>
    </row>
    <row r="32" spans="1:6">
      <c r="A32" s="421"/>
      <c r="D32" s="422" t="s">
        <v>8</v>
      </c>
      <c r="E32" s="423"/>
      <c r="F32" s="423">
        <v>0.1</v>
      </c>
    </row>
    <row r="33" spans="1:11" ht="15.75">
      <c r="A33" s="421"/>
      <c r="D33" s="422" t="s">
        <v>511</v>
      </c>
      <c r="E33" s="423"/>
      <c r="F33" s="423">
        <v>0.2</v>
      </c>
    </row>
    <row r="34" spans="1:11" ht="14.25">
      <c r="A34" s="421"/>
      <c r="D34" s="422" t="s">
        <v>512</v>
      </c>
      <c r="E34" s="423"/>
      <c r="F34" s="423">
        <v>0.2</v>
      </c>
    </row>
    <row r="35" spans="1:11">
      <c r="A35" s="421"/>
      <c r="D35" s="422" t="s">
        <v>513</v>
      </c>
      <c r="E35" s="423"/>
      <c r="F35" s="423">
        <v>0.2</v>
      </c>
    </row>
    <row r="36" spans="1:11">
      <c r="A36" s="421"/>
      <c r="D36" s="422" t="s">
        <v>514</v>
      </c>
      <c r="E36" s="423"/>
      <c r="F36" s="423">
        <v>0.2</v>
      </c>
    </row>
    <row r="37" spans="1:11" ht="15.75">
      <c r="A37" s="421"/>
      <c r="D37" s="422" t="s">
        <v>515</v>
      </c>
      <c r="E37" s="423"/>
      <c r="F37" s="423">
        <v>0.2</v>
      </c>
    </row>
    <row r="38" spans="1:11">
      <c r="A38" s="421"/>
      <c r="D38" s="422" t="s">
        <v>444</v>
      </c>
      <c r="E38" s="423"/>
      <c r="F38" s="423">
        <v>0.3</v>
      </c>
    </row>
    <row r="39" spans="1:11">
      <c r="A39" s="421"/>
      <c r="D39" s="422" t="s">
        <v>135</v>
      </c>
      <c r="E39" s="423"/>
      <c r="F39" s="423">
        <v>0.3</v>
      </c>
    </row>
    <row r="40" spans="1:11" ht="15.75">
      <c r="A40" s="421"/>
      <c r="D40" s="422" t="s">
        <v>516</v>
      </c>
      <c r="E40" s="423"/>
      <c r="F40" s="423">
        <v>0.3</v>
      </c>
    </row>
    <row r="41" spans="1:11" ht="15.75">
      <c r="A41" s="421"/>
      <c r="D41" s="422" t="s">
        <v>517</v>
      </c>
      <c r="E41" s="423"/>
      <c r="F41" s="423">
        <v>0.3</v>
      </c>
    </row>
    <row r="42" spans="1:11" ht="14.25">
      <c r="A42" s="421"/>
      <c r="D42" s="422" t="s">
        <v>518</v>
      </c>
      <c r="E42" s="423"/>
      <c r="F42" s="423">
        <v>0.3</v>
      </c>
    </row>
    <row r="43" spans="1:11" ht="15.75">
      <c r="A43" s="421" t="s">
        <v>519</v>
      </c>
      <c r="B43" s="252" t="s">
        <v>481</v>
      </c>
      <c r="D43" s="421" t="s">
        <v>520</v>
      </c>
    </row>
    <row r="44" spans="1:11" ht="66" customHeight="1">
      <c r="A44" s="421"/>
      <c r="D44" s="616" t="s">
        <v>521</v>
      </c>
      <c r="E44" s="616"/>
      <c r="F44" s="616"/>
      <c r="G44" s="616"/>
      <c r="H44" s="616"/>
      <c r="I44" s="616"/>
      <c r="J44" s="616"/>
      <c r="K44" s="616"/>
    </row>
    <row r="45" spans="1:11" ht="15.75">
      <c r="A45" s="421"/>
      <c r="D45" s="411" t="s">
        <v>522</v>
      </c>
    </row>
    <row r="46" spans="1:11">
      <c r="A46" s="421"/>
      <c r="D46" s="411" t="s">
        <v>497</v>
      </c>
      <c r="E46" s="252"/>
      <c r="F46" s="252"/>
    </row>
    <row r="47" spans="1:11" ht="15.75">
      <c r="A47" s="421"/>
      <c r="D47" s="411" t="s">
        <v>523</v>
      </c>
      <c r="E47" s="252"/>
      <c r="F47" s="252">
        <v>0.9</v>
      </c>
      <c r="G47" s="411" t="s">
        <v>524</v>
      </c>
    </row>
    <row r="48" spans="1:11" ht="15.75">
      <c r="A48" s="421"/>
      <c r="D48" s="411" t="s">
        <v>525</v>
      </c>
      <c r="E48" s="252" t="s">
        <v>300</v>
      </c>
      <c r="F48" s="252"/>
      <c r="G48" s="411" t="s">
        <v>526</v>
      </c>
    </row>
    <row r="49" spans="1:13" ht="15.75">
      <c r="A49" s="421"/>
      <c r="D49" s="411" t="s">
        <v>527</v>
      </c>
      <c r="E49" s="252" t="s">
        <v>289</v>
      </c>
      <c r="F49" s="252"/>
      <c r="G49" s="411" t="s">
        <v>528</v>
      </c>
    </row>
    <row r="50" spans="1:13">
      <c r="A50" s="421"/>
      <c r="G50" s="252">
        <v>0.75</v>
      </c>
      <c r="H50" s="411" t="s">
        <v>529</v>
      </c>
    </row>
    <row r="51" spans="1:13">
      <c r="A51" s="421"/>
      <c r="G51" s="252">
        <v>9.11</v>
      </c>
      <c r="H51" s="411" t="s">
        <v>530</v>
      </c>
    </row>
    <row r="52" spans="1:13">
      <c r="A52" s="421"/>
    </row>
    <row r="53" spans="1:13" ht="39.75" customHeight="1">
      <c r="A53" s="616" t="s">
        <v>531</v>
      </c>
      <c r="B53" s="616"/>
      <c r="C53" s="616"/>
      <c r="D53" s="616"/>
      <c r="E53" s="616"/>
      <c r="F53" s="616"/>
      <c r="G53" s="616"/>
      <c r="H53" s="616"/>
      <c r="I53" s="616"/>
      <c r="J53" s="616"/>
      <c r="K53" s="616"/>
      <c r="L53" s="616"/>
    </row>
    <row r="54" spans="1:13">
      <c r="A54" s="421"/>
    </row>
    <row r="55" spans="1:13" ht="12.75" customHeight="1">
      <c r="A55" s="413" t="s">
        <v>532</v>
      </c>
      <c r="B55" s="412"/>
      <c r="C55" s="412"/>
      <c r="D55" s="412"/>
      <c r="E55" s="412"/>
      <c r="F55" s="412"/>
      <c r="G55" s="412"/>
      <c r="H55" s="412"/>
      <c r="I55" s="412"/>
      <c r="J55" s="412"/>
      <c r="K55" s="412"/>
    </row>
    <row r="56" spans="1:13" ht="27.75" customHeight="1">
      <c r="A56" s="616" t="s">
        <v>533</v>
      </c>
      <c r="B56" s="616"/>
      <c r="C56" s="616"/>
      <c r="D56" s="616"/>
      <c r="E56" s="616"/>
      <c r="F56" s="616"/>
      <c r="G56" s="616"/>
      <c r="H56" s="616"/>
      <c r="I56" s="616"/>
      <c r="J56" s="616"/>
      <c r="K56" s="616"/>
      <c r="L56" s="616"/>
      <c r="M56"/>
    </row>
  </sheetData>
  <mergeCells count="7">
    <mergeCell ref="A56:L56"/>
    <mergeCell ref="A1:L1"/>
    <mergeCell ref="A2:L2"/>
    <mergeCell ref="A5:L5"/>
    <mergeCell ref="A8:K8"/>
    <mergeCell ref="D44:K44"/>
    <mergeCell ref="A53:L5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3"/>
  <sheetViews>
    <sheetView topLeftCell="A13" workbookViewId="0">
      <selection activeCell="B43" sqref="B43"/>
    </sheetView>
  </sheetViews>
  <sheetFormatPr defaultColWidth="9.140625" defaultRowHeight="21.95" customHeight="1"/>
  <cols>
    <col min="1" max="1" width="11.7109375" style="411" customWidth="1"/>
    <col min="2" max="2" width="11.7109375" style="457" customWidth="1"/>
    <col min="3" max="4" width="11.7109375" style="369" customWidth="1"/>
    <col min="5" max="9" width="9.7109375" style="457" customWidth="1"/>
    <col min="10" max="10" width="9.7109375" style="411" bestFit="1" customWidth="1"/>
    <col min="11" max="11" width="12" style="411" bestFit="1" customWidth="1"/>
    <col min="12" max="12" width="9.28515625" style="411" bestFit="1" customWidth="1"/>
    <col min="13" max="13" width="11.85546875" style="411" bestFit="1" customWidth="1"/>
    <col min="14" max="14" width="10.5703125" style="411" bestFit="1" customWidth="1"/>
    <col min="15" max="15" width="17.28515625" style="411" customWidth="1"/>
    <col min="16" max="16" width="9.42578125" style="411" customWidth="1"/>
    <col min="17" max="17" width="9.28515625" style="411" bestFit="1" customWidth="1"/>
    <col min="18" max="16384" width="9.140625" style="411"/>
  </cols>
  <sheetData>
    <row r="1" spans="1:12" ht="12.75">
      <c r="A1" s="426" t="s">
        <v>534</v>
      </c>
      <c r="B1" s="427"/>
      <c r="C1" s="428"/>
      <c r="D1" s="428"/>
      <c r="E1" s="429"/>
      <c r="F1" s="429"/>
      <c r="G1" s="429"/>
      <c r="H1" s="426" t="s">
        <v>535</v>
      </c>
      <c r="I1" s="430"/>
    </row>
    <row r="2" spans="1:12" s="300" customFormat="1" ht="25.5">
      <c r="A2" s="431" t="s">
        <v>504</v>
      </c>
      <c r="B2" s="432" t="s">
        <v>536</v>
      </c>
      <c r="C2" s="433" t="s">
        <v>537</v>
      </c>
      <c r="D2" s="434" t="s">
        <v>538</v>
      </c>
      <c r="E2" s="435" t="s">
        <v>539</v>
      </c>
      <c r="F2" s="435" t="s">
        <v>540</v>
      </c>
      <c r="G2" s="435" t="s">
        <v>541</v>
      </c>
      <c r="H2" s="435" t="s">
        <v>542</v>
      </c>
      <c r="I2" s="436" t="s">
        <v>543</v>
      </c>
    </row>
    <row r="3" spans="1:12" s="300" customFormat="1" ht="14.25">
      <c r="A3" s="437"/>
      <c r="B3" s="298" t="s">
        <v>544</v>
      </c>
      <c r="C3" s="298" t="s">
        <v>545</v>
      </c>
      <c r="D3" s="298" t="s">
        <v>546</v>
      </c>
      <c r="F3" s="298"/>
      <c r="G3" s="298"/>
      <c r="H3" s="298"/>
      <c r="I3" s="438"/>
    </row>
    <row r="4" spans="1:12" s="300" customFormat="1" ht="14.25">
      <c r="A4" s="439"/>
      <c r="B4" s="440" t="s">
        <v>300</v>
      </c>
      <c r="C4" s="441" t="s">
        <v>300</v>
      </c>
      <c r="D4" s="442" t="s">
        <v>300</v>
      </c>
      <c r="E4" s="443" t="s">
        <v>289</v>
      </c>
      <c r="F4" s="443"/>
      <c r="G4" s="443"/>
      <c r="H4" s="443"/>
      <c r="I4" s="444" t="s">
        <v>547</v>
      </c>
    </row>
    <row r="5" spans="1:12" ht="12.75">
      <c r="A5" s="445" t="s">
        <v>11</v>
      </c>
      <c r="B5" s="429">
        <v>2500</v>
      </c>
      <c r="C5" s="446">
        <f>IF('DATI UTENTE'!D43&gt;Deroghe!B5,'DATI UTENTE'!D43,)</f>
        <v>0</v>
      </c>
      <c r="D5" s="479">
        <f>IF(C5&gt;0,'DATI UTENTE'!D52,)</f>
        <v>0</v>
      </c>
      <c r="E5" s="429" t="s">
        <v>143</v>
      </c>
      <c r="F5" s="429">
        <f>IF(D6&gt;0,(D5/D6)/100,0)</f>
        <v>0</v>
      </c>
      <c r="G5" s="448">
        <f>+C5/B5</f>
        <v>0</v>
      </c>
      <c r="H5" s="429">
        <f>+IF(C5&gt;B5,F5*G5,0)</f>
        <v>0</v>
      </c>
      <c r="I5" s="449" t="s">
        <v>143</v>
      </c>
    </row>
    <row r="6" spans="1:12" ht="12.75">
      <c r="A6" s="445" t="s">
        <v>548</v>
      </c>
      <c r="B6" s="429">
        <v>1500</v>
      </c>
      <c r="C6" s="446">
        <f>IF(C5=""," ",C5*0.8)</f>
        <v>0</v>
      </c>
      <c r="D6" s="479">
        <f>IF(C6&gt;0,'DATI UTENTE'!D53,)</f>
        <v>0</v>
      </c>
      <c r="E6" s="429" t="s">
        <v>143</v>
      </c>
      <c r="F6" s="429" t="s">
        <v>143</v>
      </c>
      <c r="G6" s="429" t="s">
        <v>143</v>
      </c>
      <c r="H6" s="429" t="s">
        <v>143</v>
      </c>
      <c r="I6" s="449" t="s">
        <v>143</v>
      </c>
    </row>
    <row r="7" spans="1:12" ht="12.75">
      <c r="A7" s="445" t="s">
        <v>99</v>
      </c>
      <c r="B7" s="429">
        <v>400</v>
      </c>
      <c r="C7" s="446">
        <f>IF('DATI UTENTE'!D45&gt;Deroghe!B7,'DATI UTENTE'!D45,)</f>
        <v>0</v>
      </c>
      <c r="D7" s="450"/>
      <c r="E7" s="429" t="s">
        <v>143</v>
      </c>
      <c r="F7" s="429">
        <v>0.01</v>
      </c>
      <c r="G7" s="448">
        <f t="shared" ref="G7:G30" si="0">+C7/B7</f>
        <v>0</v>
      </c>
      <c r="H7" s="429">
        <f t="shared" ref="H7:H30" si="1">+IF(C7&gt;B7,F7*G7,0)</f>
        <v>0</v>
      </c>
      <c r="I7" s="449" t="s">
        <v>143</v>
      </c>
    </row>
    <row r="8" spans="1:12" ht="12.75">
      <c r="A8" s="445" t="s">
        <v>549</v>
      </c>
      <c r="B8" s="451">
        <v>23.4</v>
      </c>
      <c r="C8" s="452"/>
      <c r="D8" s="447"/>
      <c r="E8" s="429">
        <v>0.75</v>
      </c>
      <c r="F8" s="453"/>
      <c r="G8" s="453"/>
      <c r="H8" s="453"/>
      <c r="I8" s="449">
        <f>IF((1/1000*E8*($B$38*C8-B8))&lt;=0,0,IF(D8&lt;($B$38*C8),1/1000*E8*($B$38*C8-B8),1/1000*E8*(D8-B8)))</f>
        <v>0</v>
      </c>
      <c r="L8" s="454"/>
    </row>
    <row r="9" spans="1:12" ht="12.75">
      <c r="A9" s="445" t="s">
        <v>550</v>
      </c>
      <c r="B9" s="451">
        <v>60</v>
      </c>
      <c r="C9" s="452"/>
      <c r="D9" s="447"/>
      <c r="E9" s="429">
        <v>0.75</v>
      </c>
      <c r="F9" s="453"/>
      <c r="G9" s="453"/>
      <c r="H9" s="453"/>
      <c r="I9" s="449">
        <f>IF((1/1000*E9*($B$38*C9-B9))&lt;=0,0,IF(D9&lt;($B$38*C9),1/1000*E9*($B$38*C9-B9),1/1000*E9*(D9-B9)))</f>
        <v>0</v>
      </c>
    </row>
    <row r="10" spans="1:12" ht="12.75">
      <c r="A10" s="445" t="s">
        <v>551</v>
      </c>
      <c r="B10" s="451">
        <v>0.6</v>
      </c>
      <c r="C10" s="452"/>
      <c r="D10" s="447"/>
      <c r="E10" s="429">
        <v>0.75</v>
      </c>
      <c r="F10" s="455">
        <v>0.2</v>
      </c>
      <c r="G10" s="448">
        <f t="shared" si="0"/>
        <v>0</v>
      </c>
      <c r="H10" s="455">
        <f t="shared" si="1"/>
        <v>0</v>
      </c>
      <c r="I10" s="449">
        <f>IF((1/1000*E10*($B$38*C10-B10))&lt;=0,0,IF(D10&lt;($B$38*C10),1/1000*E10*($B$38*C10-B10),1/1000*E10*(D10-B10)))</f>
        <v>0</v>
      </c>
    </row>
    <row r="11" spans="1:12" ht="12.75">
      <c r="A11" s="445" t="s">
        <v>552</v>
      </c>
      <c r="B11" s="429">
        <v>100</v>
      </c>
      <c r="C11" s="446">
        <f>IF('DATI UTENTE'!D46&gt;Deroghe!B11,'DATI UTENTE'!D46,)</f>
        <v>0</v>
      </c>
      <c r="D11" s="479">
        <f>IF(C11&gt;0,'DATI UTENTE'!D55,)</f>
        <v>0</v>
      </c>
      <c r="E11" s="429">
        <v>0.75</v>
      </c>
      <c r="F11" s="453"/>
      <c r="G11" s="453"/>
      <c r="H11" s="453"/>
      <c r="I11" s="449">
        <f>IF((1/1000*E11*($B$38*C11-B11))&lt;=0,0,IF(D11&lt;($B$38*C11),1/1000*E11*($B$38*C11-B11),1/1000*E11*(D11-B11)))</f>
        <v>0</v>
      </c>
    </row>
    <row r="12" spans="1:12" ht="12.75">
      <c r="A12" s="445" t="s">
        <v>553</v>
      </c>
      <c r="B12" s="429">
        <v>15</v>
      </c>
      <c r="C12" s="446">
        <f>IF('DATI UTENTE'!D47&gt;Deroghe!B12,'DATI UTENTE'!D47,)</f>
        <v>0</v>
      </c>
      <c r="D12" s="447">
        <f>IF(C12&gt;0,'DATI UTENTE'!D56,)</f>
        <v>0</v>
      </c>
      <c r="E12" s="429">
        <v>9.11</v>
      </c>
      <c r="F12" s="453"/>
      <c r="G12" s="453"/>
      <c r="H12" s="453"/>
      <c r="I12" s="449">
        <f>IF((1/1000*E12*($B$38*C12-B12))&lt;=0,0,IF(D12&lt;($B$38*C12),1/1000*E12*($B$38*C12-B12),1/1000*E12*(D12-B12)))</f>
        <v>0</v>
      </c>
    </row>
    <row r="13" spans="1:12" ht="12.75">
      <c r="A13" s="445" t="s">
        <v>554</v>
      </c>
      <c r="B13" s="429">
        <v>100</v>
      </c>
      <c r="C13" s="446"/>
      <c r="D13" s="453"/>
      <c r="E13" s="429" t="s">
        <v>143</v>
      </c>
      <c r="F13" s="429">
        <v>0.1</v>
      </c>
      <c r="G13" s="448">
        <f t="shared" si="0"/>
        <v>0</v>
      </c>
      <c r="H13" s="429">
        <f t="shared" si="1"/>
        <v>0</v>
      </c>
      <c r="I13" s="449" t="s">
        <v>143</v>
      </c>
    </row>
    <row r="14" spans="1:12" ht="12.75">
      <c r="A14" s="445" t="s">
        <v>444</v>
      </c>
      <c r="B14" s="429">
        <v>100</v>
      </c>
      <c r="C14" s="446"/>
      <c r="D14" s="453"/>
      <c r="E14" s="429" t="s">
        <v>143</v>
      </c>
      <c r="F14" s="429">
        <v>0.3</v>
      </c>
      <c r="G14" s="448">
        <f t="shared" si="0"/>
        <v>0</v>
      </c>
      <c r="H14" s="429">
        <f t="shared" si="1"/>
        <v>0</v>
      </c>
      <c r="I14" s="449" t="s">
        <v>143</v>
      </c>
    </row>
    <row r="15" spans="1:12" ht="12.75">
      <c r="A15" s="445" t="s">
        <v>135</v>
      </c>
      <c r="B15" s="429">
        <v>4</v>
      </c>
      <c r="C15" s="446"/>
      <c r="D15" s="453"/>
      <c r="E15" s="429" t="s">
        <v>143</v>
      </c>
      <c r="F15" s="429">
        <v>0.3</v>
      </c>
      <c r="G15" s="448">
        <f t="shared" si="0"/>
        <v>0</v>
      </c>
      <c r="H15" s="429">
        <f t="shared" si="1"/>
        <v>0</v>
      </c>
      <c r="I15" s="449" t="s">
        <v>143</v>
      </c>
    </row>
    <row r="16" spans="1:12" ht="12.75">
      <c r="A16" s="445" t="s">
        <v>508</v>
      </c>
      <c r="B16" s="429">
        <v>4</v>
      </c>
      <c r="C16" s="446"/>
      <c r="D16" s="453"/>
      <c r="E16" s="429" t="s">
        <v>143</v>
      </c>
      <c r="F16" s="429">
        <v>0.1</v>
      </c>
      <c r="G16" s="448">
        <f t="shared" si="0"/>
        <v>0</v>
      </c>
      <c r="H16" s="429">
        <f t="shared" si="1"/>
        <v>0</v>
      </c>
      <c r="I16" s="449" t="s">
        <v>143</v>
      </c>
    </row>
    <row r="17" spans="1:9" ht="12.75">
      <c r="A17" s="445" t="s">
        <v>509</v>
      </c>
      <c r="B17" s="429">
        <v>10</v>
      </c>
      <c r="C17" s="446"/>
      <c r="D17" s="453"/>
      <c r="E17" s="429" t="s">
        <v>143</v>
      </c>
      <c r="F17" s="429">
        <v>0.1</v>
      </c>
      <c r="G17" s="448">
        <f t="shared" si="0"/>
        <v>0</v>
      </c>
      <c r="H17" s="429">
        <f t="shared" si="1"/>
        <v>0</v>
      </c>
      <c r="I17" s="449" t="s">
        <v>143</v>
      </c>
    </row>
    <row r="18" spans="1:9" ht="12.75">
      <c r="A18" s="445" t="s">
        <v>555</v>
      </c>
      <c r="B18" s="429">
        <v>0.3</v>
      </c>
      <c r="C18" s="446"/>
      <c r="D18" s="453"/>
      <c r="E18" s="429" t="s">
        <v>143</v>
      </c>
      <c r="F18" s="429">
        <v>0.1</v>
      </c>
      <c r="G18" s="448">
        <f t="shared" si="0"/>
        <v>0</v>
      </c>
      <c r="H18" s="429">
        <f t="shared" si="1"/>
        <v>0</v>
      </c>
      <c r="I18" s="449" t="s">
        <v>143</v>
      </c>
    </row>
    <row r="19" spans="1:9" ht="12.75">
      <c r="A19" s="445" t="s">
        <v>8</v>
      </c>
      <c r="B19" s="429">
        <v>5.5</v>
      </c>
      <c r="C19" s="446"/>
      <c r="D19" s="456"/>
      <c r="E19" s="429" t="s">
        <v>143</v>
      </c>
      <c r="F19" s="429">
        <v>0.1</v>
      </c>
      <c r="G19" s="448">
        <f t="shared" si="0"/>
        <v>0</v>
      </c>
      <c r="H19" s="429">
        <f t="shared" si="1"/>
        <v>0</v>
      </c>
      <c r="I19" s="449" t="s">
        <v>143</v>
      </c>
    </row>
    <row r="20" spans="1:9" ht="12.75">
      <c r="A20" s="445" t="s">
        <v>8</v>
      </c>
      <c r="B20" s="429">
        <v>10.5</v>
      </c>
      <c r="C20" s="446"/>
      <c r="D20" s="456"/>
      <c r="E20" s="429" t="s">
        <v>143</v>
      </c>
      <c r="F20" s="429">
        <v>0.1</v>
      </c>
      <c r="G20" s="448">
        <f t="shared" si="0"/>
        <v>0</v>
      </c>
      <c r="H20" s="429">
        <f t="shared" si="1"/>
        <v>0</v>
      </c>
      <c r="I20" s="449" t="s">
        <v>143</v>
      </c>
    </row>
    <row r="21" spans="1:9" ht="12.75">
      <c r="A21" s="445" t="s">
        <v>556</v>
      </c>
      <c r="B21" s="429">
        <v>2000</v>
      </c>
      <c r="C21" s="446"/>
      <c r="D21" s="456"/>
      <c r="E21" s="429" t="s">
        <v>143</v>
      </c>
      <c r="F21" s="429">
        <v>0.2</v>
      </c>
      <c r="G21" s="448">
        <f t="shared" si="0"/>
        <v>0</v>
      </c>
      <c r="H21" s="429">
        <f t="shared" si="1"/>
        <v>0</v>
      </c>
      <c r="I21" s="449" t="s">
        <v>143</v>
      </c>
    </row>
    <row r="22" spans="1:9" ht="12.75">
      <c r="A22" s="445" t="s">
        <v>557</v>
      </c>
      <c r="B22" s="429">
        <v>50</v>
      </c>
      <c r="C22" s="446"/>
      <c r="D22" s="456"/>
      <c r="E22" s="429" t="s">
        <v>143</v>
      </c>
      <c r="F22" s="429">
        <v>0.2</v>
      </c>
      <c r="G22" s="448">
        <f t="shared" si="0"/>
        <v>0</v>
      </c>
      <c r="H22" s="429">
        <f t="shared" si="1"/>
        <v>0</v>
      </c>
      <c r="I22" s="449" t="s">
        <v>143</v>
      </c>
    </row>
    <row r="23" spans="1:9" ht="12.75">
      <c r="A23" s="445" t="s">
        <v>514</v>
      </c>
      <c r="B23" s="429">
        <v>4</v>
      </c>
      <c r="C23" s="446"/>
      <c r="D23" s="456"/>
      <c r="E23" s="429" t="s">
        <v>143</v>
      </c>
      <c r="F23" s="429">
        <v>0.2</v>
      </c>
      <c r="G23" s="448">
        <f t="shared" si="0"/>
        <v>0</v>
      </c>
      <c r="H23" s="429">
        <f t="shared" si="1"/>
        <v>0</v>
      </c>
      <c r="I23" s="449" t="s">
        <v>143</v>
      </c>
    </row>
    <row r="24" spans="1:9" ht="12.75">
      <c r="A24" s="445" t="s">
        <v>558</v>
      </c>
      <c r="B24" s="429">
        <v>2000</v>
      </c>
      <c r="C24" s="446"/>
      <c r="D24" s="456"/>
      <c r="E24" s="429" t="s">
        <v>143</v>
      </c>
      <c r="F24" s="429">
        <v>0.2</v>
      </c>
      <c r="G24" s="448">
        <f t="shared" si="0"/>
        <v>0</v>
      </c>
      <c r="H24" s="429">
        <f t="shared" si="1"/>
        <v>0</v>
      </c>
      <c r="I24" s="449" t="s">
        <v>143</v>
      </c>
    </row>
    <row r="25" spans="1:9" ht="12.75">
      <c r="A25" s="445" t="s">
        <v>559</v>
      </c>
      <c r="B25" s="429">
        <v>30</v>
      </c>
      <c r="C25" s="446"/>
      <c r="D25" s="456"/>
      <c r="E25" s="429" t="s">
        <v>143</v>
      </c>
      <c r="F25" s="429">
        <v>0.3</v>
      </c>
      <c r="G25" s="448">
        <f t="shared" si="0"/>
        <v>0</v>
      </c>
      <c r="H25" s="429">
        <f t="shared" si="1"/>
        <v>0</v>
      </c>
      <c r="I25" s="449" t="s">
        <v>143</v>
      </c>
    </row>
    <row r="26" spans="1:9" ht="12.75">
      <c r="A26" s="445" t="s">
        <v>560</v>
      </c>
      <c r="B26" s="429">
        <v>10</v>
      </c>
      <c r="C26" s="446"/>
      <c r="D26" s="456"/>
      <c r="E26" s="429" t="s">
        <v>143</v>
      </c>
      <c r="F26" s="429">
        <v>0.3</v>
      </c>
      <c r="G26" s="448">
        <f t="shared" si="0"/>
        <v>0</v>
      </c>
      <c r="H26" s="429">
        <f t="shared" si="1"/>
        <v>0</v>
      </c>
      <c r="I26" s="449" t="s">
        <v>143</v>
      </c>
    </row>
    <row r="27" spans="1:9" ht="12.75">
      <c r="A27" s="445" t="s">
        <v>561</v>
      </c>
      <c r="B27" s="429">
        <v>12</v>
      </c>
      <c r="C27" s="446"/>
      <c r="D27" s="456"/>
      <c r="E27" s="429" t="s">
        <v>143</v>
      </c>
      <c r="F27" s="429">
        <v>0.3</v>
      </c>
      <c r="G27" s="448">
        <f t="shared" si="0"/>
        <v>0</v>
      </c>
      <c r="H27" s="429">
        <f t="shared" si="1"/>
        <v>0</v>
      </c>
      <c r="I27" s="449" t="s">
        <v>143</v>
      </c>
    </row>
    <row r="28" spans="1:9" ht="12.75">
      <c r="A28" s="445" t="s">
        <v>562</v>
      </c>
      <c r="B28" s="429">
        <v>1</v>
      </c>
      <c r="C28" s="446"/>
      <c r="D28" s="456"/>
      <c r="E28" s="429" t="s">
        <v>143</v>
      </c>
      <c r="F28" s="429">
        <v>0.3</v>
      </c>
      <c r="G28" s="448">
        <f t="shared" si="0"/>
        <v>0</v>
      </c>
      <c r="H28" s="429">
        <f t="shared" si="1"/>
        <v>0</v>
      </c>
      <c r="I28" s="449" t="s">
        <v>143</v>
      </c>
    </row>
    <row r="29" spans="1:9" ht="12.75">
      <c r="A29" s="445" t="s">
        <v>563</v>
      </c>
      <c r="B29" s="429">
        <v>1</v>
      </c>
      <c r="C29" s="446"/>
      <c r="D29" s="456"/>
      <c r="E29" s="429" t="s">
        <v>143</v>
      </c>
      <c r="F29" s="429">
        <v>0.3</v>
      </c>
      <c r="G29" s="448">
        <f t="shared" si="0"/>
        <v>0</v>
      </c>
      <c r="H29" s="429">
        <f t="shared" si="1"/>
        <v>0</v>
      </c>
      <c r="I29" s="449" t="s">
        <v>143</v>
      </c>
    </row>
    <row r="30" spans="1:9" ht="12.75">
      <c r="A30" s="445" t="s">
        <v>564</v>
      </c>
      <c r="B30" s="429">
        <v>2</v>
      </c>
      <c r="C30" s="446"/>
      <c r="D30" s="456"/>
      <c r="E30" s="429" t="s">
        <v>143</v>
      </c>
      <c r="F30" s="429">
        <v>0.3</v>
      </c>
      <c r="G30" s="448">
        <f t="shared" si="0"/>
        <v>0</v>
      </c>
      <c r="H30" s="429">
        <f t="shared" si="1"/>
        <v>0</v>
      </c>
      <c r="I30" s="449" t="s">
        <v>143</v>
      </c>
    </row>
    <row r="31" spans="1:9" ht="12.75"/>
    <row r="32" spans="1:9" ht="12.75">
      <c r="A32" s="458" t="s">
        <v>565</v>
      </c>
      <c r="B32" s="459">
        <f>'DATI UTENTE'!D50</f>
        <v>0</v>
      </c>
      <c r="C32" s="259" t="s">
        <v>566</v>
      </c>
      <c r="D32" s="624" t="s">
        <v>567</v>
      </c>
      <c r="E32" s="624"/>
      <c r="F32" s="624"/>
      <c r="G32" s="625" t="s">
        <v>568</v>
      </c>
      <c r="H32" s="626"/>
      <c r="I32" s="627"/>
    </row>
    <row r="33" spans="1:20" ht="12.75">
      <c r="A33" s="458" t="s">
        <v>569</v>
      </c>
      <c r="B33" s="460" t="str">
        <f>TARIFFA!C30</f>
        <v/>
      </c>
      <c r="C33" s="259" t="s">
        <v>269</v>
      </c>
      <c r="D33" s="624" t="s">
        <v>570</v>
      </c>
      <c r="E33" s="624"/>
      <c r="F33" s="624"/>
      <c r="G33" s="461" t="s">
        <v>571</v>
      </c>
      <c r="H33" s="462" t="s">
        <v>572</v>
      </c>
      <c r="I33" s="462" t="s">
        <v>487</v>
      </c>
    </row>
    <row r="34" spans="1:20" ht="14.25">
      <c r="A34" s="458" t="s">
        <v>480</v>
      </c>
      <c r="B34" s="463">
        <f>IF(B32&gt;0,B33/B32,0)</f>
        <v>0</v>
      </c>
      <c r="C34" s="259" t="s">
        <v>481</v>
      </c>
      <c r="D34" s="624" t="s">
        <v>482</v>
      </c>
      <c r="E34" s="624"/>
      <c r="F34" s="624"/>
      <c r="G34" s="464" t="s">
        <v>566</v>
      </c>
      <c r="H34" s="311" t="s">
        <v>566</v>
      </c>
      <c r="I34" s="465"/>
    </row>
    <row r="35" spans="1:20" ht="12.75">
      <c r="A35" s="466" t="s">
        <v>485</v>
      </c>
      <c r="B35" s="467">
        <v>0.25</v>
      </c>
      <c r="C35" s="468" t="s">
        <v>143</v>
      </c>
      <c r="D35" s="628" t="s">
        <v>486</v>
      </c>
      <c r="E35" s="628"/>
      <c r="F35" s="628"/>
      <c r="G35" s="469">
        <v>0</v>
      </c>
      <c r="H35" s="470">
        <v>5000</v>
      </c>
      <c r="I35" s="471">
        <v>1</v>
      </c>
    </row>
    <row r="36" spans="1:20" ht="12.75">
      <c r="A36" s="472" t="s">
        <v>487</v>
      </c>
      <c r="B36" s="468">
        <f>IF(B32&gt;G38,I38,IF(B32&gt;G37,I37,IF(B32&gt;G36,I36,I35)))</f>
        <v>1</v>
      </c>
      <c r="C36" s="468" t="s">
        <v>143</v>
      </c>
      <c r="D36" s="624" t="s">
        <v>488</v>
      </c>
      <c r="E36" s="624"/>
      <c r="F36" s="624"/>
      <c r="G36" s="469">
        <v>5000</v>
      </c>
      <c r="H36" s="470">
        <v>50000</v>
      </c>
      <c r="I36" s="471">
        <v>0.95</v>
      </c>
      <c r="L36" s="300"/>
      <c r="M36" s="300"/>
      <c r="N36" s="300"/>
      <c r="O36" s="300"/>
      <c r="P36" s="300"/>
      <c r="Q36" s="300"/>
      <c r="T36" s="300"/>
    </row>
    <row r="37" spans="1:20" ht="15.75">
      <c r="A37" s="466" t="s">
        <v>573</v>
      </c>
      <c r="B37" s="467">
        <f>SUM(H13:H30)+H7+H5</f>
        <v>0</v>
      </c>
      <c r="C37" s="468" t="s">
        <v>143</v>
      </c>
      <c r="D37" s="624" t="s">
        <v>574</v>
      </c>
      <c r="E37" s="624"/>
      <c r="F37" s="624"/>
      <c r="G37" s="469">
        <v>50000</v>
      </c>
      <c r="H37" s="470">
        <v>500000</v>
      </c>
      <c r="I37" s="471">
        <v>0.9</v>
      </c>
    </row>
    <row r="38" spans="1:20" ht="15.75">
      <c r="A38" s="466" t="s">
        <v>575</v>
      </c>
      <c r="B38" s="467">
        <v>0.9</v>
      </c>
      <c r="C38" s="468" t="s">
        <v>143</v>
      </c>
      <c r="D38" s="628" t="s">
        <v>576</v>
      </c>
      <c r="E38" s="628"/>
      <c r="F38" s="628"/>
      <c r="G38" s="469">
        <v>500000</v>
      </c>
      <c r="H38" s="470" t="s">
        <v>577</v>
      </c>
      <c r="I38" s="471">
        <v>0.85</v>
      </c>
    </row>
    <row r="39" spans="1:20" ht="15.75">
      <c r="A39" s="472" t="s">
        <v>578</v>
      </c>
      <c r="B39" s="468">
        <f>SUM(I8:I12)</f>
        <v>0</v>
      </c>
      <c r="C39" s="468" t="s">
        <v>481</v>
      </c>
      <c r="D39" s="624" t="s">
        <v>579</v>
      </c>
      <c r="E39" s="624"/>
      <c r="F39" s="624"/>
    </row>
    <row r="40" spans="1:20" ht="12.75">
      <c r="A40" s="473" t="s">
        <v>580</v>
      </c>
      <c r="B40" s="474">
        <f>+B32*(B34*(1+B35*B37*B36)+B39)</f>
        <v>0</v>
      </c>
      <c r="C40" s="339" t="s">
        <v>269</v>
      </c>
      <c r="D40" s="624" t="s">
        <v>581</v>
      </c>
      <c r="E40" s="624"/>
      <c r="F40" s="624"/>
    </row>
    <row r="41" spans="1:20" ht="14.25">
      <c r="A41" s="473" t="s">
        <v>483</v>
      </c>
      <c r="B41" s="475" t="str">
        <f>IF(B32&gt;0,+B40/B32,"")</f>
        <v/>
      </c>
      <c r="C41" s="339" t="s">
        <v>547</v>
      </c>
      <c r="D41" s="624" t="s">
        <v>484</v>
      </c>
      <c r="E41" s="624"/>
      <c r="F41" s="624"/>
    </row>
    <row r="42" spans="1:20" ht="12.75">
      <c r="A42" s="476" t="s">
        <v>582</v>
      </c>
      <c r="B42" s="477">
        <f>IF(B32&gt;0,B40-B33,0)</f>
        <v>0</v>
      </c>
      <c r="C42" s="339" t="s">
        <v>269</v>
      </c>
      <c r="D42" s="624" t="s">
        <v>583</v>
      </c>
      <c r="E42" s="624"/>
      <c r="F42" s="624"/>
    </row>
    <row r="43" spans="1:20" ht="12.75">
      <c r="A43" s="258" t="s">
        <v>584</v>
      </c>
      <c r="B43" s="478" t="str">
        <f>IF(B34&gt;0,+(B41-B34)/B34*100,"")</f>
        <v/>
      </c>
      <c r="C43" s="259" t="s">
        <v>265</v>
      </c>
      <c r="D43" s="624" t="s">
        <v>585</v>
      </c>
      <c r="E43" s="624"/>
      <c r="F43" s="624"/>
    </row>
  </sheetData>
  <mergeCells count="13">
    <mergeCell ref="D43:F43"/>
    <mergeCell ref="D37:F37"/>
    <mergeCell ref="D38:F38"/>
    <mergeCell ref="D39:F39"/>
    <mergeCell ref="D40:F40"/>
    <mergeCell ref="D41:F41"/>
    <mergeCell ref="D42:F42"/>
    <mergeCell ref="D36:F36"/>
    <mergeCell ref="D32:F32"/>
    <mergeCell ref="G32:I32"/>
    <mergeCell ref="D33:F33"/>
    <mergeCell ref="D34:F34"/>
    <mergeCell ref="D35:F3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workbookViewId="0">
      <selection activeCell="L30" sqref="L30"/>
    </sheetView>
  </sheetViews>
  <sheetFormatPr defaultRowHeight="12.75"/>
  <cols>
    <col min="1" max="2" width="9.140625" style="390"/>
    <col min="3" max="3" width="13.140625" customWidth="1"/>
    <col min="4" max="4" width="13.28515625" customWidth="1"/>
    <col min="6" max="6" width="9.140625" style="390"/>
  </cols>
  <sheetData>
    <row r="1" spans="1:6">
      <c r="A1" s="389" t="s">
        <v>256</v>
      </c>
      <c r="B1" s="389" t="s">
        <v>438</v>
      </c>
      <c r="C1" s="388" t="s">
        <v>440</v>
      </c>
      <c r="D1" s="388" t="s">
        <v>114</v>
      </c>
      <c r="E1" s="388" t="s">
        <v>81</v>
      </c>
      <c r="F1" s="389" t="s">
        <v>441</v>
      </c>
    </row>
    <row r="2" spans="1:6">
      <c r="A2" s="389"/>
      <c r="B2" s="389"/>
    </row>
    <row r="3" spans="1:6">
      <c r="A3" s="390">
        <v>2018</v>
      </c>
      <c r="B3" s="390">
        <v>1</v>
      </c>
      <c r="C3" s="388" t="s">
        <v>64</v>
      </c>
      <c r="D3" s="188" t="s">
        <v>55</v>
      </c>
      <c r="E3" s="119" t="s">
        <v>134</v>
      </c>
      <c r="F3" s="390">
        <v>0</v>
      </c>
    </row>
    <row r="4" spans="1:6">
      <c r="A4" s="390">
        <v>2019</v>
      </c>
      <c r="B4" s="390">
        <v>2</v>
      </c>
      <c r="C4" s="388" t="s">
        <v>54</v>
      </c>
      <c r="D4" s="188" t="s">
        <v>71</v>
      </c>
      <c r="E4" s="119" t="s">
        <v>135</v>
      </c>
      <c r="F4" s="390">
        <v>1</v>
      </c>
    </row>
    <row r="5" spans="1:6">
      <c r="A5" s="390">
        <v>2020</v>
      </c>
      <c r="B5" s="390">
        <v>3</v>
      </c>
      <c r="D5" s="188" t="s">
        <v>56</v>
      </c>
      <c r="E5" s="119" t="s">
        <v>136</v>
      </c>
      <c r="F5" s="390">
        <v>2</v>
      </c>
    </row>
    <row r="6" spans="1:6">
      <c r="A6" s="390">
        <v>2021</v>
      </c>
      <c r="B6" s="390">
        <v>4</v>
      </c>
      <c r="D6" s="188" t="s">
        <v>57</v>
      </c>
      <c r="E6" s="119" t="s">
        <v>137</v>
      </c>
      <c r="F6" s="390">
        <v>3</v>
      </c>
    </row>
    <row r="7" spans="1:6">
      <c r="A7" s="390">
        <v>2022</v>
      </c>
      <c r="B7" s="390">
        <v>5</v>
      </c>
      <c r="D7" s="188" t="s">
        <v>83</v>
      </c>
      <c r="E7" s="119" t="s">
        <v>138</v>
      </c>
      <c r="F7" s="390">
        <v>4</v>
      </c>
    </row>
    <row r="8" spans="1:6">
      <c r="A8" s="390">
        <v>2023</v>
      </c>
      <c r="B8" s="390">
        <v>6</v>
      </c>
      <c r="D8" s="188" t="s">
        <v>90</v>
      </c>
    </row>
    <row r="9" spans="1:6">
      <c r="A9" s="390">
        <v>2024</v>
      </c>
      <c r="B9" s="390">
        <v>7</v>
      </c>
      <c r="D9" s="188" t="s">
        <v>58</v>
      </c>
      <c r="F9" s="188" t="s">
        <v>58</v>
      </c>
    </row>
    <row r="10" spans="1:6">
      <c r="A10" s="390">
        <v>2025</v>
      </c>
      <c r="B10" s="390">
        <v>8</v>
      </c>
      <c r="D10" s="188" t="s">
        <v>84</v>
      </c>
    </row>
    <row r="11" spans="1:6">
      <c r="A11" s="390">
        <v>2026</v>
      </c>
      <c r="B11" s="390">
        <v>9</v>
      </c>
      <c r="D11" s="188" t="s">
        <v>59</v>
      </c>
    </row>
    <row r="12" spans="1:6">
      <c r="A12" s="390">
        <v>2027</v>
      </c>
      <c r="B12" s="390">
        <v>10</v>
      </c>
      <c r="D12" s="188" t="s">
        <v>85</v>
      </c>
    </row>
    <row r="13" spans="1:6">
      <c r="A13" s="390">
        <v>2028</v>
      </c>
      <c r="B13" s="390">
        <v>11</v>
      </c>
      <c r="D13" s="188"/>
    </row>
    <row r="14" spans="1:6">
      <c r="A14" s="390">
        <v>2029</v>
      </c>
      <c r="B14" s="390">
        <v>12</v>
      </c>
      <c r="D14" s="188"/>
    </row>
    <row r="15" spans="1:6">
      <c r="A15" s="390">
        <v>2030</v>
      </c>
      <c r="D15" s="188"/>
    </row>
    <row r="16" spans="1:6">
      <c r="D16" s="188"/>
    </row>
    <row r="17" spans="4:4">
      <c r="D17" s="188"/>
    </row>
    <row r="19" spans="4:4">
      <c r="D19" s="1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42</vt:i4>
      </vt:variant>
    </vt:vector>
  </HeadingPairs>
  <TitlesOfParts>
    <vt:vector size="52" baseType="lpstr">
      <vt:lpstr>DATI UTENTE</vt:lpstr>
      <vt:lpstr>TARIFFA</vt:lpstr>
      <vt:lpstr>Tariffa_old</vt:lpstr>
      <vt:lpstr>Dati</vt:lpstr>
      <vt:lpstr>Delibere</vt:lpstr>
      <vt:lpstr>Tariffa_New</vt:lpstr>
      <vt:lpstr>info_deroghe</vt:lpstr>
      <vt:lpstr>Deroghe</vt:lpstr>
      <vt:lpstr>Elenchi</vt:lpstr>
      <vt:lpstr>Guida</vt:lpstr>
      <vt:lpstr>'DATI UTENTE'!Area_stampa</vt:lpstr>
      <vt:lpstr>TARIFFA!Area_stampa</vt:lpstr>
      <vt:lpstr>Tariffa_old!Area_stampa</vt:lpstr>
      <vt:lpstr>azo</vt:lpstr>
      <vt:lpstr>bod</vt:lpstr>
      <vt:lpstr>Classe</vt:lpstr>
      <vt:lpstr>cod</vt:lpstr>
      <vt:lpstr>Coef_C</vt:lpstr>
      <vt:lpstr>CoefK</vt:lpstr>
      <vt:lpstr>CoefM</vt:lpstr>
      <vt:lpstr>col</vt:lpstr>
      <vt:lpstr>Comune</vt:lpstr>
      <vt:lpstr>Comuni</vt:lpstr>
      <vt:lpstr>Consorzi</vt:lpstr>
      <vt:lpstr>Consorzio</vt:lpstr>
      <vt:lpstr>da_3</vt:lpstr>
      <vt:lpstr>da_4</vt:lpstr>
      <vt:lpstr>daN</vt:lpstr>
      <vt:lpstr>db</vt:lpstr>
      <vt:lpstr>df</vt:lpstr>
      <vt:lpstr>dv</vt:lpstr>
      <vt:lpstr>f2_minimo</vt:lpstr>
      <vt:lpstr>f2p</vt:lpstr>
      <vt:lpstr>f2s</vt:lpstr>
      <vt:lpstr>Km</vt:lpstr>
      <vt:lpstr>mc</vt:lpstr>
      <vt:lpstr>Mdb</vt:lpstr>
      <vt:lpstr>Mdf</vt:lpstr>
      <vt:lpstr>mesi</vt:lpstr>
      <vt:lpstr>Of</vt:lpstr>
      <vt:lpstr>Periodo</vt:lpstr>
      <vt:lpstr>pH</vt:lpstr>
      <vt:lpstr>rapp</vt:lpstr>
      <vt:lpstr>SceltaClasse</vt:lpstr>
      <vt:lpstr>SceltaComuni</vt:lpstr>
      <vt:lpstr>SceltaSocio</vt:lpstr>
      <vt:lpstr>Sf</vt:lpstr>
      <vt:lpstr>sst</vt:lpstr>
      <vt:lpstr>ten</vt:lpstr>
      <vt:lpstr>'DATI UTENTE'!Titoli_stampa</vt:lpstr>
      <vt:lpstr>U</vt:lpstr>
      <vt:lpstr>Umin</vt:lpstr>
    </vt:vector>
  </TitlesOfParts>
  <Company>LARIANA DEPUR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Direzione Tecnica.</dc:creator>
  <cp:lastModifiedBy>Giovanni Bergna</cp:lastModifiedBy>
  <cp:lastPrinted>2019-04-01T12:21:14Z</cp:lastPrinted>
  <dcterms:created xsi:type="dcterms:W3CDTF">1997-05-29T09:49:35Z</dcterms:created>
  <dcterms:modified xsi:type="dcterms:W3CDTF">2023-01-17T10:00:38Z</dcterms:modified>
</cp:coreProperties>
</file>